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IbenBechmann\Desktop\"/>
    </mc:Choice>
  </mc:AlternateContent>
  <xr:revisionPtr revIDLastSave="0" documentId="13_ncr:1_{9599516C-5415-48BD-9849-B5042FBF6CEA}" xr6:coauthVersionLast="47" xr6:coauthVersionMax="47" xr10:uidLastSave="{00000000-0000-0000-0000-000000000000}"/>
  <bookViews>
    <workbookView xWindow="-120" yWindow="-120" windowWidth="29040" windowHeight="15720" activeTab="1" xr2:uid="{00000000-000D-0000-FFFF-FFFF00000000}"/>
  </bookViews>
  <sheets>
    <sheet name="Forklarende tekst" sheetId="5" r:id="rId1"/>
    <sheet name="TCO beregning" sheetId="2" r:id="rId2"/>
    <sheet name="Restværdi beregning" sheetId="1" r:id="rId3"/>
  </sheets>
  <definedNames>
    <definedName name="_xlnm._FilterDatabase" localSheetId="1" hidden="1">'TCO beregning'!$B$2:$Y$20</definedName>
    <definedName name="_xlnm.Criteria" localSheetId="1">'TCO beregning'!$G$53</definedName>
    <definedName name="_xlnm.Print_Area" localSheetId="1">'TCO beregning'!$A$1:$S$52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 l="1"/>
  <c r="H16" i="1"/>
  <c r="I5" i="1"/>
  <c r="C7" i="2"/>
  <c r="O5" i="1"/>
  <c r="G13" i="1"/>
  <c r="G12" i="1"/>
  <c r="F13" i="1"/>
  <c r="F12" i="1"/>
  <c r="G11" i="1"/>
  <c r="F11" i="1"/>
  <c r="G10" i="1"/>
  <c r="F10" i="1"/>
  <c r="G9" i="1"/>
  <c r="F9" i="1"/>
  <c r="G8" i="1"/>
  <c r="F8" i="1"/>
  <c r="G7" i="1"/>
  <c r="F7" i="1"/>
  <c r="G6" i="1"/>
  <c r="F6" i="1"/>
  <c r="G5" i="1"/>
  <c r="F5" i="1"/>
  <c r="G4" i="1"/>
  <c r="F4" i="1"/>
  <c r="G3" i="1"/>
  <c r="F3" i="1"/>
  <c r="G2" i="1"/>
  <c r="F2" i="1"/>
  <c r="N29" i="1"/>
  <c r="N28" i="1"/>
  <c r="E11" i="1"/>
  <c r="E9" i="1"/>
  <c r="E7" i="1"/>
  <c r="E5" i="1"/>
  <c r="E3" i="1"/>
  <c r="B11" i="1"/>
  <c r="B10" i="1"/>
  <c r="B9" i="1"/>
  <c r="B8" i="1"/>
  <c r="B7" i="1"/>
  <c r="B6" i="1"/>
  <c r="B5" i="1"/>
  <c r="B4" i="1"/>
  <c r="B3" i="1"/>
  <c r="B2" i="1"/>
  <c r="A11" i="1"/>
  <c r="A10" i="1"/>
  <c r="A9" i="1"/>
  <c r="A8" i="1"/>
  <c r="A7" i="1"/>
  <c r="A6" i="1"/>
  <c r="A5" i="1"/>
  <c r="A4" i="1"/>
  <c r="A3" i="1"/>
  <c r="A2" i="1"/>
  <c r="O11" i="1" l="1"/>
  <c r="O10" i="1"/>
  <c r="D13" i="1"/>
  <c r="B13" i="1"/>
  <c r="B12" i="1"/>
  <c r="A13" i="1"/>
  <c r="A12" i="1"/>
  <c r="N22" i="2"/>
  <c r="E13" i="1"/>
  <c r="C30" i="2"/>
  <c r="C31" i="2" s="1"/>
  <c r="K30" i="2"/>
  <c r="G30" i="2"/>
  <c r="E30" i="2"/>
  <c r="D8" i="1"/>
  <c r="C8" i="1" s="1"/>
  <c r="D9" i="1"/>
  <c r="C9" i="1" s="1"/>
  <c r="D10" i="1"/>
  <c r="C10" i="1" s="1"/>
  <c r="D3" i="1"/>
  <c r="C3" i="1" s="1"/>
  <c r="D16" i="2" s="1"/>
  <c r="D11" i="1"/>
  <c r="C11" i="1" s="1"/>
  <c r="D5" i="1"/>
  <c r="C5" i="1" s="1"/>
  <c r="D4" i="1"/>
  <c r="C4" i="1" s="1"/>
  <c r="D7" i="1"/>
  <c r="C7" i="1" s="1"/>
  <c r="D2" i="1"/>
  <c r="C2" i="1" s="1"/>
  <c r="C16" i="2" s="1"/>
  <c r="D6" i="1"/>
  <c r="C6" i="1" s="1"/>
  <c r="D14" i="2"/>
  <c r="E14" i="2"/>
  <c r="E33" i="2" s="1"/>
  <c r="F14" i="2"/>
  <c r="G14" i="2"/>
  <c r="G33" i="2" s="1"/>
  <c r="H14" i="2"/>
  <c r="I14" i="2"/>
  <c r="I33" i="2" s="1"/>
  <c r="J14" i="2"/>
  <c r="K14" i="2"/>
  <c r="K33" i="2" s="1"/>
  <c r="L14" i="2"/>
  <c r="C14" i="2"/>
  <c r="C33" i="2" s="1"/>
  <c r="C13" i="1" l="1"/>
  <c r="N16" i="2" s="1"/>
  <c r="N14" i="2" s="1"/>
  <c r="O13" i="1" s="1"/>
  <c r="N23" i="2" s="1"/>
  <c r="C22" i="2"/>
  <c r="O6" i="1"/>
  <c r="O8" i="1"/>
  <c r="O9" i="1"/>
  <c r="O3" i="1"/>
  <c r="O4" i="1"/>
  <c r="O7" i="1"/>
  <c r="O2" i="1"/>
  <c r="H15" i="1" l="1"/>
  <c r="L23" i="2"/>
  <c r="L22" i="2"/>
  <c r="L16" i="2"/>
  <c r="K31" i="2"/>
  <c r="G31" i="2"/>
  <c r="E31" i="2"/>
  <c r="M22" i="2"/>
  <c r="N15" i="1" l="1"/>
  <c r="I16" i="1"/>
  <c r="K16" i="1"/>
  <c r="M16" i="1"/>
  <c r="L16" i="1"/>
  <c r="J16" i="1"/>
  <c r="N16" i="1"/>
  <c r="H9" i="1"/>
  <c r="H5" i="1"/>
  <c r="H13" i="1"/>
  <c r="N35" i="2" s="1"/>
  <c r="N44" i="2" s="1"/>
  <c r="H3" i="1"/>
  <c r="I13" i="1"/>
  <c r="N36" i="2" s="1"/>
  <c r="N45" i="2" s="1"/>
  <c r="H11" i="1"/>
  <c r="L35" i="2" s="1"/>
  <c r="L44" i="2" s="1"/>
  <c r="M15" i="1"/>
  <c r="K15" i="1"/>
  <c r="K13" i="1" s="1"/>
  <c r="N38" i="2" s="1"/>
  <c r="N47" i="2" s="1"/>
  <c r="J15" i="1"/>
  <c r="L15" i="1"/>
  <c r="L13" i="1" s="1"/>
  <c r="N39" i="2" s="1"/>
  <c r="N48" i="2" s="1"/>
  <c r="J16" i="2"/>
  <c r="I30" i="2"/>
  <c r="I16" i="2"/>
  <c r="J9" i="1" l="1"/>
  <c r="J13" i="1"/>
  <c r="N37" i="2" s="1"/>
  <c r="N46" i="2" s="1"/>
  <c r="N9" i="1"/>
  <c r="N11" i="1"/>
  <c r="L41" i="2" s="1"/>
  <c r="L50" i="2" s="1"/>
  <c r="N13" i="1"/>
  <c r="N41" i="2" s="1"/>
  <c r="N50" i="2" s="1"/>
  <c r="M9" i="1"/>
  <c r="M13" i="1"/>
  <c r="N40" i="2" s="1"/>
  <c r="N49" i="2" s="1"/>
  <c r="M11" i="1"/>
  <c r="L40" i="2" s="1"/>
  <c r="L49" i="2" s="1"/>
  <c r="K9" i="1"/>
  <c r="K11" i="1"/>
  <c r="L38" i="2" s="1"/>
  <c r="L47" i="2" s="1"/>
  <c r="L11" i="1"/>
  <c r="L39" i="2" s="1"/>
  <c r="L48" i="2" s="1"/>
  <c r="L9" i="1"/>
  <c r="I8" i="1"/>
  <c r="N8" i="1"/>
  <c r="K8" i="1"/>
  <c r="M8" i="1"/>
  <c r="L8" i="1"/>
  <c r="J8" i="1"/>
  <c r="H8" i="1"/>
  <c r="I11" i="1"/>
  <c r="L36" i="2" s="1"/>
  <c r="L45" i="2" s="1"/>
  <c r="I9" i="1"/>
  <c r="L3" i="1"/>
  <c r="K3" i="1"/>
  <c r="M3" i="1"/>
  <c r="J11" i="1"/>
  <c r="L37" i="2" s="1"/>
  <c r="L46" i="2" s="1"/>
  <c r="J3" i="1"/>
  <c r="N3" i="1"/>
  <c r="I31" i="2"/>
  <c r="I23" i="2"/>
  <c r="K23" i="2"/>
  <c r="K22" i="2"/>
  <c r="K16" i="2"/>
  <c r="J23" i="2"/>
  <c r="D23" i="2"/>
  <c r="G16" i="2"/>
  <c r="F16" i="2"/>
  <c r="E16" i="2"/>
  <c r="H16" i="2"/>
  <c r="C23" i="2"/>
  <c r="H23" i="2"/>
  <c r="E23" i="2"/>
  <c r="F23" i="2"/>
  <c r="G23" i="2"/>
  <c r="N52" i="2" l="1"/>
  <c r="L52" i="2"/>
  <c r="I10" i="1"/>
  <c r="K36" i="2" s="1"/>
  <c r="K45" i="2" s="1"/>
  <c r="I6" i="1"/>
  <c r="N7" i="1"/>
  <c r="M7" i="1"/>
  <c r="L7" i="1"/>
  <c r="K7" i="1"/>
  <c r="J7" i="1"/>
  <c r="H7" i="1"/>
  <c r="M5" i="1"/>
  <c r="L5" i="1"/>
  <c r="K5" i="1"/>
  <c r="J5" i="1"/>
  <c r="N5" i="1"/>
  <c r="I4" i="1"/>
  <c r="I3" i="1"/>
  <c r="N10" i="1"/>
  <c r="K41" i="2" s="1"/>
  <c r="K50" i="2" s="1"/>
  <c r="L10" i="1"/>
  <c r="K39" i="2" s="1"/>
  <c r="K48" i="2" s="1"/>
  <c r="K10" i="1"/>
  <c r="K38" i="2" s="1"/>
  <c r="K47" i="2" s="1"/>
  <c r="H10" i="1"/>
  <c r="K35" i="2" s="1"/>
  <c r="K44" i="2" s="1"/>
  <c r="M10" i="1"/>
  <c r="K40" i="2" s="1"/>
  <c r="K49" i="2" s="1"/>
  <c r="J10" i="1"/>
  <c r="K37" i="2" s="1"/>
  <c r="K46" i="2" s="1"/>
  <c r="J6" i="1"/>
  <c r="D22" i="2"/>
  <c r="J22" i="2"/>
  <c r="J4" i="1"/>
  <c r="H6" i="1"/>
  <c r="K52" i="2" l="1"/>
  <c r="L2" i="1"/>
  <c r="I2" i="1"/>
  <c r="D39" i="2"/>
  <c r="D48" i="2" s="1"/>
  <c r="D38" i="2"/>
  <c r="D47" i="2" s="1"/>
  <c r="D36" i="2"/>
  <c r="D45" i="2" s="1"/>
  <c r="D37" i="2"/>
  <c r="D46" i="2" s="1"/>
  <c r="D35" i="2"/>
  <c r="D44" i="2" s="1"/>
  <c r="D41" i="2"/>
  <c r="D50" i="2" s="1"/>
  <c r="D40" i="2"/>
  <c r="D49" i="2" s="1"/>
  <c r="L4" i="1"/>
  <c r="J35" i="2"/>
  <c r="J44" i="2" s="1"/>
  <c r="K4" i="1"/>
  <c r="M4" i="1"/>
  <c r="N4" i="1"/>
  <c r="I7" i="1"/>
  <c r="K6" i="1"/>
  <c r="N6" i="1"/>
  <c r="H4" i="1"/>
  <c r="L6" i="1"/>
  <c r="M6" i="1"/>
  <c r="M2" i="1"/>
  <c r="N2" i="1"/>
  <c r="C41" i="2" s="1"/>
  <c r="H2" i="1"/>
  <c r="J2" i="1"/>
  <c r="K2" i="1"/>
  <c r="J40" i="2"/>
  <c r="J49" i="2" s="1"/>
  <c r="J41" i="2"/>
  <c r="J50" i="2" s="1"/>
  <c r="J39" i="2"/>
  <c r="J48" i="2" s="1"/>
  <c r="J36" i="2"/>
  <c r="J45" i="2" s="1"/>
  <c r="J38" i="2"/>
  <c r="J47" i="2" s="1"/>
  <c r="J37" i="2"/>
  <c r="J46" i="2" s="1"/>
  <c r="I22" i="2"/>
  <c r="F22" i="2"/>
  <c r="H22" i="2"/>
  <c r="G22" i="2"/>
  <c r="E22" i="2"/>
  <c r="J52" i="2" l="1"/>
  <c r="D52" i="2"/>
  <c r="E40" i="2"/>
  <c r="E49" i="2" s="1"/>
  <c r="E39" i="2"/>
  <c r="E48" i="2" s="1"/>
  <c r="H40" i="2"/>
  <c r="H49" i="2" s="1"/>
  <c r="H39" i="2"/>
  <c r="H48" i="2" s="1"/>
  <c r="H38" i="2"/>
  <c r="H47" i="2" s="1"/>
  <c r="H36" i="2"/>
  <c r="H45" i="2" s="1"/>
  <c r="H37" i="2"/>
  <c r="H46" i="2" s="1"/>
  <c r="H35" i="2"/>
  <c r="H44" i="2" s="1"/>
  <c r="H41" i="2"/>
  <c r="H50" i="2" s="1"/>
  <c r="F38" i="2"/>
  <c r="F47" i="2" s="1"/>
  <c r="F35" i="2"/>
  <c r="F44" i="2" s="1"/>
  <c r="F37" i="2"/>
  <c r="F46" i="2" s="1"/>
  <c r="F36" i="2"/>
  <c r="F45" i="2" s="1"/>
  <c r="F41" i="2"/>
  <c r="F50" i="2" s="1"/>
  <c r="F40" i="2"/>
  <c r="F49" i="2" s="1"/>
  <c r="F39" i="2"/>
  <c r="F48" i="2" s="1"/>
  <c r="I41" i="2"/>
  <c r="I50" i="2" s="1"/>
  <c r="I36" i="2"/>
  <c r="I45" i="2" s="1"/>
  <c r="I40" i="2"/>
  <c r="I49" i="2" s="1"/>
  <c r="I39" i="2"/>
  <c r="I48" i="2" s="1"/>
  <c r="I38" i="2"/>
  <c r="I47" i="2" s="1"/>
  <c r="I35" i="2"/>
  <c r="I44" i="2" s="1"/>
  <c r="I37" i="2"/>
  <c r="I46" i="2" s="1"/>
  <c r="E36" i="2"/>
  <c r="E45" i="2" s="1"/>
  <c r="E41" i="2"/>
  <c r="E50" i="2" s="1"/>
  <c r="E38" i="2"/>
  <c r="E47" i="2" s="1"/>
  <c r="E37" i="2"/>
  <c r="E46" i="2" s="1"/>
  <c r="E35" i="2"/>
  <c r="E44" i="2" s="1"/>
  <c r="C39" i="2"/>
  <c r="C48" i="2" s="1"/>
  <c r="C35" i="2"/>
  <c r="C44" i="2" s="1"/>
  <c r="G38" i="2"/>
  <c r="G47" i="2" s="1"/>
  <c r="G35" i="2"/>
  <c r="G44" i="2" s="1"/>
  <c r="G41" i="2"/>
  <c r="G50" i="2" s="1"/>
  <c r="G37" i="2"/>
  <c r="G46" i="2" s="1"/>
  <c r="C40" i="2"/>
  <c r="C49" i="2" s="1"/>
  <c r="G36" i="2"/>
  <c r="G45" i="2" s="1"/>
  <c r="C36" i="2"/>
  <c r="C45" i="2" s="1"/>
  <c r="G40" i="2"/>
  <c r="G49" i="2" s="1"/>
  <c r="C50" i="2"/>
  <c r="C38" i="2"/>
  <c r="C47" i="2" s="1"/>
  <c r="C37" i="2"/>
  <c r="C46" i="2" s="1"/>
  <c r="G39" i="2"/>
  <c r="G48" i="2" s="1"/>
  <c r="E52" i="2" l="1"/>
  <c r="I52" i="2"/>
  <c r="G52" i="2"/>
  <c r="H52" i="2"/>
  <c r="F52" i="2"/>
  <c r="C52" i="2"/>
  <c r="D12" i="1"/>
  <c r="N12" i="1" l="1"/>
  <c r="M41" i="2" s="1"/>
  <c r="H12" i="1"/>
  <c r="M35" i="2" s="1"/>
  <c r="M12" i="1"/>
  <c r="M40" i="2" s="1"/>
  <c r="L12" i="1"/>
  <c r="M39" i="2" s="1"/>
  <c r="K12" i="1"/>
  <c r="M38" i="2" s="1"/>
  <c r="J12" i="1"/>
  <c r="M37" i="2" s="1"/>
  <c r="I12" i="1"/>
  <c r="M36" i="2" s="1"/>
  <c r="C12" i="1"/>
  <c r="M16" i="2" s="1"/>
  <c r="M14" i="2" s="1"/>
  <c r="O12" i="1" l="1"/>
  <c r="M23" i="2" s="1"/>
  <c r="M45" i="2" s="1"/>
  <c r="M33" i="2"/>
  <c r="M50" i="2" l="1"/>
  <c r="M44" i="2"/>
  <c r="M49" i="2"/>
  <c r="M48" i="2"/>
  <c r="M47" i="2"/>
  <c r="M46" i="2"/>
  <c r="M52"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<sst xmlns="http://schemas.openxmlformats.org/spreadsheetml/2006/main" count="148" uniqueCount="107">
  <si>
    <t>Mærke</t>
  </si>
  <si>
    <t>Model</t>
  </si>
  <si>
    <t>Listepris u/moms</t>
  </si>
  <si>
    <t>Listepris m/moms</t>
  </si>
  <si>
    <t>Lånerente i %</t>
  </si>
  <si>
    <t>kWh batteri</t>
  </si>
  <si>
    <t>Fabriksmonteret udstyr u/moms</t>
  </si>
  <si>
    <t>Lokalmonteret udstyr u/moms</t>
  </si>
  <si>
    <t xml:space="preserve"> Udfyld selv </t>
  </si>
  <si>
    <t>Udfyld selv</t>
  </si>
  <si>
    <t>Investeringsbeløb</t>
  </si>
  <si>
    <t>Pris u/moms lokalmonteret udstyr</t>
  </si>
  <si>
    <t>Pris ex moms</t>
  </si>
  <si>
    <t>15 ton diesel</t>
  </si>
  <si>
    <t>6 ton diesel</t>
  </si>
  <si>
    <t>40 ton diesel</t>
  </si>
  <si>
    <t>15 ton batteri + kabel</t>
  </si>
  <si>
    <t>5,5 ton batteri + kabel</t>
  </si>
  <si>
    <t>23 ton diesel</t>
  </si>
  <si>
    <t>23 ton batteri + kabel</t>
  </si>
  <si>
    <t>Mega maskine diesel</t>
  </si>
  <si>
    <t>Lille maskine diesel</t>
  </si>
  <si>
    <t>Mellem maskine diesel</t>
  </si>
  <si>
    <t>Periode</t>
  </si>
  <si>
    <t>1 = tung benyttelse</t>
  </si>
  <si>
    <t>Link til drivkraft DK</t>
  </si>
  <si>
    <t>Restværdi i % efter 12 måneder</t>
  </si>
  <si>
    <t>Hvis maskinen anvendes tungt, skriv "1" i C8</t>
  </si>
  <si>
    <t>Lånerente grønt lån i %</t>
  </si>
  <si>
    <t>1,8 ton diesel</t>
  </si>
  <si>
    <t>1,8 ton batteri</t>
  </si>
  <si>
    <t>40 ton kabel</t>
  </si>
  <si>
    <t>Baggrund og formål</t>
  </si>
  <si>
    <t>Om anvendelse af værktøjet</t>
  </si>
  <si>
    <t>For alle beregninger gælder 21 arbejdsdage pr. måned.</t>
  </si>
  <si>
    <t>Værdier der kan ændres</t>
  </si>
  <si>
    <t>Der er indsat mulighed for at differentiere lånerente for hhv. sort og grøn teknologi.</t>
  </si>
  <si>
    <t>Ansvarsfraskrivelse</t>
  </si>
  <si>
    <t>Minigraver diesel</t>
  </si>
  <si>
    <t>Mega maskine kabel</t>
  </si>
  <si>
    <t>Diesel/HVO-100-pris u/moms</t>
  </si>
  <si>
    <t>kWh-pris u/moms</t>
  </si>
  <si>
    <t>Antal timer i benyttelse pr. dag</t>
  </si>
  <si>
    <t>Mellem maskine batteri</t>
  </si>
  <si>
    <t>Lille maskine batteri</t>
  </si>
  <si>
    <t>Stor maskine batteri</t>
  </si>
  <si>
    <t>Stor maskine diesel</t>
  </si>
  <si>
    <t>Minigraver batteri</t>
  </si>
  <si>
    <t>Faktisk forbrug pr. time L / kW</t>
  </si>
  <si>
    <r>
      <t>Årlig besparelse i ton CO</t>
    </r>
    <r>
      <rPr>
        <b/>
        <vertAlign val="subscript"/>
        <sz val="12"/>
        <color theme="1"/>
        <rFont val="Calibri"/>
        <family val="2"/>
        <scheme val="minor"/>
      </rPr>
      <t>2</t>
    </r>
    <r>
      <rPr>
        <b/>
        <sz val="12"/>
        <color theme="1"/>
        <rFont val="Calibri"/>
        <family val="2"/>
        <scheme val="minor"/>
      </rPr>
      <t>-udslip ved anvendelse 21 dage pr. måned i et år</t>
    </r>
  </si>
  <si>
    <t>Afskrivning pr. md. v/12 mdr.</t>
  </si>
  <si>
    <t>Afskrivning pr. md. v/24 mdr.</t>
  </si>
  <si>
    <t>Afskrivning pr. md. v/36 mdr.</t>
  </si>
  <si>
    <t>Afskrivning pr. md. v/48 mdr.</t>
  </si>
  <si>
    <t>Afskrivning pr. md. v/60 mdr.</t>
  </si>
  <si>
    <t>Afskrivning pr. md. v/72 mdr.</t>
  </si>
  <si>
    <t>Afskrivning pr. md. v/84 mdr.</t>
  </si>
  <si>
    <t>Faste omkostninger pr. md. v/12 mdr.</t>
  </si>
  <si>
    <t>Service og reparation pr. md. v/12 mdr.</t>
  </si>
  <si>
    <t>Service og reparation pr. md. v/24 mdr.</t>
  </si>
  <si>
    <t>Service og reparation pr. md. v/36 mdr.</t>
  </si>
  <si>
    <t>Service og reparation pr. md. v/48 mdr.</t>
  </si>
  <si>
    <t>Service og reparation pr. md. v/60 mdr.</t>
  </si>
  <si>
    <t>Service og reparation pr. md. v/72 mdr.</t>
  </si>
  <si>
    <t>Service og reparation pr. md. v/84 mdr.</t>
  </si>
  <si>
    <t>Faste omkostninger pr. md. v/24 mdr.</t>
  </si>
  <si>
    <t>Faste omkostninger pr. md. v/36 mdr.</t>
  </si>
  <si>
    <t>Faste omkostninger pr. md. v/48 mdr.</t>
  </si>
  <si>
    <t>Faste omkostninger pr. md. v/60 mdr.</t>
  </si>
  <si>
    <t>Faste omkostninger pr. md. v/72 mdr.</t>
  </si>
  <si>
    <t>Faste omkostninger pr. md. v/84 mdr.</t>
  </si>
  <si>
    <t>Pris pr. time ved mest optimal TCO</t>
  </si>
  <si>
    <t>Pris inkl. moms</t>
  </si>
  <si>
    <t>Pris u/moms fabriksmonteret udstyr</t>
  </si>
  <si>
    <t>Restværdi efter 12 mdr.</t>
  </si>
  <si>
    <t xml:space="preserve">Diesel/strøm-omkostninger pr. md. </t>
  </si>
  <si>
    <t>Restværdi efter 24 mdr.</t>
  </si>
  <si>
    <t>Restværdi efter 36 mdr.</t>
  </si>
  <si>
    <t>Restværdi efter 48 mdr.</t>
  </si>
  <si>
    <t>Restværdi efter 60 mdr.</t>
  </si>
  <si>
    <t>Restværdi efter 72 mdr.</t>
  </si>
  <si>
    <t>Restværdi efter 84 mdr.</t>
  </si>
  <si>
    <t>Mærke diesel</t>
  </si>
  <si>
    <t>Mærke batteri/kabel</t>
  </si>
  <si>
    <t>Beregnes</t>
  </si>
  <si>
    <t>Alle normtal for forbrug, service og vedligehold er indhentet af G&amp;G Consulting, nov. 2023.</t>
  </si>
  <si>
    <t>Alle indkøbspriser er listepriser fra importør indhentet af G&amp;G Consulting, nov. 2023. Kontakt altid en forhandler for eksakt tilbud.</t>
  </si>
  <si>
    <t>Normforbrug pr. time</t>
  </si>
  <si>
    <t>Udgift til brændstof/strøm pr. md.</t>
  </si>
  <si>
    <t>Restværdi % elektriske gravemaskiner</t>
  </si>
  <si>
    <t>Restværdi % dieselgravemaskiner</t>
  </si>
  <si>
    <t>Denne Total Cost of Ownership (TCO) beregner er udviklet til dig, der beskæftiger sig med leje, køb og/eller salg af emissionsfrie entreprenørmaskiner. Den kan også anvendes af dig som udbyder bygge- og anlægsopgaver, der ønsker at udføre opgaverne emissionsfrit. Her kan beregneren give indsigt i omkostningsstrukturerne.</t>
  </si>
  <si>
    <t>Udover at TCO-beregninger relativt nemt bør kunne overføres til situationer, hvor operationel leasing er valgt som finansieringsmodel, så kan beregningerne samtidig danne grundlag for en mere generel dialog om finansiering på tværs af værdikæden.</t>
  </si>
  <si>
    <t xml:space="preserve">TCO-beregneren skal også kunne bruges som grundlag for dialogen mellem bygherre og entreprenør om muligheden for at stille krav om eller efterspørge emissionsfrie maskiner. </t>
  </si>
  <si>
    <t>TCO-beregneren er et normværktøj, som kan indikere forskellen på månedlige totalomkostninger for hhv. gammel (diesel-) og ny (el-) teknologi. Værktøjet indikerer samtidig, hvor mange måneder det er mest optimalt at eje maskinen ud fra et økonomisk perspektiv. Vær opmærksom på, at beregningen for månedlige totalomkostning ved 12, 24, 36 osv. måneder gælder fra måned 1.</t>
  </si>
  <si>
    <t>I værktøjet er der på forhånd opstillet en række forskellige maskinstørrelser. De vejledende listepriser, som er oplyst for disse maskiner, er fra leverandører i Danmark og/eller Norge og er omregnet til danske kroner.</t>
  </si>
  <si>
    <t>Beregneren er afgrænset til anskaffelses- og finansieringsomkostninger, service og vedligehold samt direkte driftsomkostninger. Service- og vedligeholdsomkostninger er afgrænset til den del, der vedrører oliemotoren, og dermed kun forskellen mellem de to maskiner. Den medtager ikke omkostninger forbundet med implementering af ny teknologi såsom nye arbejdsprocesser og vaner. Den medtager heller ikke ændringer i infrastruktur eller løsninger for midlertidigt strømbehov på byggepladsen.</t>
  </si>
  <si>
    <t>Det er muligt selv at ændre i en række enhedsværdier, når man anvender værktøjet. Herunder pris på en liter diesel eller HVO 100, kWh, timetal for daglig anvendelse af maskinen og anskaffelsesprisen. I arket med beregning af restværdi, er det muligt at ændre forventede restværdier. Standard restværdi er sat til at være 10% i favør af den nye teknologi, så el-maskinen opretholder 75% af sin værdi efter 12 måneder, hvor dieselmaskinens restværdi er reduceret til 65%. Ved fire timers daglig drift eller mindre ændres restværdien automatisk til 85% for el-maskinen og tilsvarende 10% mindre for dieselmaskinen.</t>
  </si>
  <si>
    <t>Vi har på forhånd låst alle celler, hvor værdier beregnes. Disse celler kan låses op uden kode.</t>
  </si>
  <si>
    <t>Rigtig god fornøjelse!</t>
  </si>
  <si>
    <t>TCO-beregneren, herunder alle normtal og listepriser, er udviklet og indhentet af G&amp;G Consulting AS v/Anders Gadsbøll. Redaktionen er afsluttet november 2023.</t>
  </si>
  <si>
    <t>CO-PI fremhæver, at redaktionen af denne TCO-beregner er afsluttet i november 2023 og opdateres ikke løbende. Enhedsværdierne, der er anvendt i TCO-beregneren, er derimod under løbende forandring, og CO-PI kan derfor ikke garantere, at informationerne er fuldt opdaterede ved anvendelse. CO-PI fremhæver også at informationerne i TCO-beregneren baserer sig på normtal, og at formålet er at kunne indikere økonomiske forskelle mellem fossile og emissionsfrie ikke-vejgående maskiner. Beregneren indeholder mulighed for at indsætte egne enhedsværdier baseret på egne faktiske eller forventede omkostninger. CO-PI er særligt af disse grunde nødsaget til generelt at fraskrive ethvert muligt ansvar for fejl, udeladelser og mangelfulde opdateringer, der måtte være i informationer og udregninger i TCO-beregneren, herunder i den forklarende tekst. Ansvar for indholdet af hjemmesider, der henvises eller linkes til, og for materialer, hvor det fremgår, at de er udarbejdet af andre, påhviler alene den angivne forfatter. CO-PI fraskriver sig ethvert muligt ansvar for tab, skader eller ulemper, der skyldes brug af TCO-beregneren og vejledningen, herunder datatab og retsfortabelser.</t>
  </si>
  <si>
    <t>OM TCO-BEREGNEREN</t>
  </si>
  <si>
    <r>
      <t xml:space="preserve">Målet har været at udvikle et vidensgrundlag, der gør det lettere at vælge emissionsfrie arbejdsmaskiner, når man står foran udskiftning af hele eller dele af sin maskinflåde. TCO-beregningerne peger på, at emissionsfrie entreprenørmaskiner har højere anskaffelsesomkostninger, men at de samtidig er væsentligt billigere i drift, service og vedligehold. TCO-beregningerne tager udgangspunkt i principperne bag </t>
    </r>
    <r>
      <rPr>
        <b/>
        <sz val="10"/>
        <color theme="1"/>
        <rFont val="Arial"/>
        <family val="2"/>
      </rPr>
      <t>operationel leasing</t>
    </r>
    <r>
      <rPr>
        <sz val="10"/>
        <color theme="1"/>
        <rFont val="Arial"/>
        <family val="2"/>
      </rPr>
      <t>, hvilket vil sige, at leasingselskabet tager sig af de løbende omkostninger til service og reparation mod en månedlig leasingydelse. Spørgsmålet om restværdi efter endt leasingperiode håndteres ligeledes af leasingselskabet.</t>
    </r>
  </si>
  <si>
    <t xml:space="preserve">Center for Offentlig-Privat Innovation (CO-PI) har fået udviklet denne konkrete TCO-beregner som et bidrag til partnerne i skaleringsprocessen </t>
  </si>
  <si>
    <t>’Sammen om Emissionsfrie arbejdsmaskiner’.</t>
  </si>
  <si>
    <t>Alle beregninger er lavet med 21 arbejdsdage pr. måned.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</si>
</sst>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_-* #,##0.0_-;\-* #,##0.0_-;_-* &quot;-&quot;??_-;_-@_-"/>
    <numFmt numFmtId="166" formatCode="_-* #,##0.00\ [$kr.-406]_-;\-* #,##0.00\ [$kr.-406]_-;_-* &quot;-&quot;??\ [$kr.-406]_-;_-@_-"/>
    <numFmt numFmtId="167" formatCode="#,##0_ ;\-#,##0\ "/>
    <numFmt numFmtId="168" formatCode="_-* #,##0_-;\-* #,##0_-;_-* &quot;0&quot;??_-;_-@_-"/>
    <numFmt numFmtId="169" formatCode="_-* #,##0.00\ [$kr.-406]_-;\-* #,##0.00\ [$kr.-406]_-;_-* &quot;0&quot;??\ [$kr.-406]_-;_-@_-"/>
  </numFmts>
  <fonts count="18">
    <font>
      <sz val="12"/>
      <color theme="1"/>
      <name val="Calibri"/>
      <family val="2"/>
      <scheme val="minor"/>
    </font>
    <font>
      <sz val="12"/>
      <color theme="1"/>
      <name val="Calibri"/>
      <family val="2"/>
      <scheme val="minor"/>
    </font>
    <font>
      <sz val="12"/>
      <color theme="0"/>
      <name val="Calibri"/>
      <family val="2"/>
      <scheme val="minor"/>
    </font>
    <font>
      <sz val="8"/>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u/>
      <sz val="12"/>
      <color theme="10"/>
      <name val="Calibri"/>
      <family val="2"/>
      <scheme val="minor"/>
    </font>
    <font>
      <b/>
      <sz val="12"/>
      <color rgb="FFFFFFFF"/>
      <name val="Calibri"/>
      <family val="2"/>
      <scheme val="minor"/>
    </font>
    <font>
      <sz val="12"/>
      <name val="Calibri"/>
      <family val="2"/>
      <scheme val="minor"/>
    </font>
    <font>
      <b/>
      <vertAlign val="subscript"/>
      <sz val="12"/>
      <color theme="1"/>
      <name val="Calibri"/>
      <family val="2"/>
      <scheme val="minor"/>
    </font>
    <font>
      <sz val="12"/>
      <color theme="4" tint="0.79998168889431442"/>
      <name val="Calibri"/>
      <family val="2"/>
      <scheme val="minor"/>
    </font>
    <font>
      <b/>
      <sz val="12"/>
      <color rgb="FFFF4360"/>
      <name val="Calibri"/>
      <family val="2"/>
      <scheme val="minor"/>
    </font>
    <font>
      <sz val="10"/>
      <color theme="1"/>
      <name val="Arial"/>
      <family val="2"/>
    </font>
    <font>
      <b/>
      <sz val="10"/>
      <color theme="1"/>
      <name val="Arial"/>
      <family val="2"/>
    </font>
    <font>
      <sz val="10"/>
      <color rgb="FF000000"/>
      <name val="Arial"/>
      <family val="2"/>
    </font>
    <font>
      <u/>
      <sz val="10"/>
      <color theme="10"/>
      <name val="Arial "/>
    </font>
    <font>
      <b/>
      <sz val="36"/>
      <color theme="0"/>
      <name val="Arial"/>
      <family val="2"/>
    </font>
  </fonts>
  <fills count="13">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4360"/>
        <bgColor indexed="64"/>
      </patternFill>
    </fill>
    <fill>
      <patternFill patternType="solid">
        <fgColor rgb="FF00B050"/>
        <bgColor indexed="64"/>
      </patternFill>
    </fill>
    <fill>
      <patternFill patternType="solid">
        <fgColor rgb="FF92D050"/>
        <bgColor indexed="64"/>
      </patternFill>
    </fill>
    <fill>
      <patternFill patternType="solid">
        <fgColor rgb="FF00778A"/>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260">
    <xf numFmtId="0" fontId="0" fillId="0" borderId="0" xfId="0"/>
    <xf numFmtId="43" fontId="0" fillId="0" borderId="0" xfId="1" applyFont="1"/>
    <xf numFmtId="164" fontId="0" fillId="0" borderId="0" xfId="1" applyNumberFormat="1" applyFont="1" applyAlignment="1">
      <alignment horizontal="right"/>
    </xf>
    <xf numFmtId="164" fontId="0" fillId="0" borderId="0" xfId="0" applyNumberFormat="1"/>
    <xf numFmtId="0" fontId="0" fillId="4" borderId="0" xfId="0" applyFill="1"/>
    <xf numFmtId="0" fontId="5" fillId="4" borderId="0" xfId="0" applyFont="1" applyFill="1"/>
    <xf numFmtId="0" fontId="0" fillId="0" borderId="0" xfId="0" applyAlignment="1">
      <alignment horizontal="center"/>
    </xf>
    <xf numFmtId="0" fontId="0" fillId="10" borderId="0" xfId="0" applyFill="1"/>
    <xf numFmtId="0" fontId="0" fillId="8" borderId="0" xfId="0" applyFill="1"/>
    <xf numFmtId="43" fontId="0" fillId="0" borderId="0" xfId="1" applyFont="1" applyFill="1" applyBorder="1"/>
    <xf numFmtId="164" fontId="0" fillId="0" borderId="0" xfId="1" applyNumberFormat="1" applyFont="1" applyFill="1"/>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0" fillId="10" borderId="0" xfId="0" applyFill="1" applyAlignment="1">
      <alignment horizontal="left"/>
    </xf>
    <xf numFmtId="0" fontId="0" fillId="8" borderId="0" xfId="0" applyFill="1" applyAlignment="1">
      <alignment horizontal="left"/>
    </xf>
    <xf numFmtId="43" fontId="0" fillId="0" borderId="0" xfId="1" applyFont="1" applyFill="1" applyBorder="1" applyAlignment="1">
      <alignment horizontal="left"/>
    </xf>
    <xf numFmtId="0" fontId="4" fillId="5" borderId="0" xfId="0" applyFont="1" applyFill="1" applyAlignment="1">
      <alignment horizontal="left"/>
    </xf>
    <xf numFmtId="0" fontId="6" fillId="8" borderId="0" xfId="0" applyFont="1" applyFill="1" applyAlignment="1">
      <alignment horizontal="left"/>
    </xf>
    <xf numFmtId="0" fontId="6" fillId="10" borderId="0" xfId="0" applyFont="1" applyFill="1" applyAlignment="1">
      <alignment horizontal="left"/>
    </xf>
    <xf numFmtId="164" fontId="1" fillId="0" borderId="8" xfId="1" applyNumberFormat="1" applyFont="1" applyFill="1" applyBorder="1" applyProtection="1"/>
    <xf numFmtId="0" fontId="0" fillId="3" borderId="0" xfId="0" applyFill="1"/>
    <xf numFmtId="0" fontId="0" fillId="4" borderId="6" xfId="0" applyFill="1" applyBorder="1"/>
    <xf numFmtId="0" fontId="4" fillId="5" borderId="0" xfId="0" applyFont="1" applyFill="1" applyAlignment="1">
      <alignment vertical="center"/>
    </xf>
    <xf numFmtId="0" fontId="4" fillId="5" borderId="0" xfId="0" applyFont="1" applyFill="1"/>
    <xf numFmtId="0" fontId="0" fillId="0" borderId="10" xfId="0" applyBorder="1"/>
    <xf numFmtId="0" fontId="5" fillId="3" borderId="0" xfId="0" applyFont="1" applyFill="1" applyAlignment="1">
      <alignment horizontal="center"/>
    </xf>
    <xf numFmtId="0" fontId="8" fillId="5" borderId="0" xfId="0" applyFont="1" applyFill="1" applyAlignment="1">
      <alignment vertical="center"/>
    </xf>
    <xf numFmtId="0" fontId="2" fillId="5" borderId="0" xfId="0" applyFont="1" applyFill="1" applyAlignment="1">
      <alignment vertical="center"/>
    </xf>
    <xf numFmtId="0" fontId="0" fillId="5" borderId="0" xfId="0" applyFill="1"/>
    <xf numFmtId="0" fontId="4" fillId="5" borderId="0" xfId="0" applyFont="1" applyFill="1" applyAlignment="1">
      <alignment horizontal="left" vertical="center"/>
    </xf>
    <xf numFmtId="0" fontId="0" fillId="8" borderId="7" xfId="0" applyFill="1" applyBorder="1"/>
    <xf numFmtId="0" fontId="0" fillId="7" borderId="1" xfId="0" applyFill="1" applyBorder="1"/>
    <xf numFmtId="9" fontId="0" fillId="3" borderId="0" xfId="2" applyFont="1" applyFill="1" applyProtection="1"/>
    <xf numFmtId="0" fontId="5" fillId="0" borderId="33" xfId="0" applyFont="1" applyBorder="1"/>
    <xf numFmtId="9" fontId="5" fillId="3" borderId="0" xfId="2" applyFont="1" applyFill="1" applyAlignment="1" applyProtection="1">
      <alignment horizontal="left"/>
    </xf>
    <xf numFmtId="0" fontId="0" fillId="0" borderId="1" xfId="0" applyBorder="1" applyAlignment="1">
      <alignment vertical="center" wrapText="1"/>
    </xf>
    <xf numFmtId="0" fontId="5" fillId="3" borderId="0" xfId="0" applyFont="1" applyFill="1" applyAlignment="1">
      <alignment horizontal="center" vertical="center"/>
    </xf>
    <xf numFmtId="0" fontId="6" fillId="3" borderId="1" xfId="0" applyFont="1" applyFill="1" applyBorder="1" applyAlignment="1">
      <alignment vertical="center"/>
    </xf>
    <xf numFmtId="0" fontId="0" fillId="0" borderId="1" xfId="0" applyBorder="1"/>
    <xf numFmtId="0" fontId="0" fillId="3" borderId="29" xfId="0" applyFill="1" applyBorder="1"/>
    <xf numFmtId="0" fontId="0" fillId="3" borderId="25" xfId="0" applyFill="1" applyBorder="1"/>
    <xf numFmtId="0" fontId="0" fillId="3" borderId="24" xfId="0" applyFill="1" applyBorder="1"/>
    <xf numFmtId="0" fontId="0" fillId="7" borderId="19" xfId="0" applyFill="1" applyBorder="1" applyAlignment="1">
      <alignment horizontal="center" vertical="center"/>
    </xf>
    <xf numFmtId="0" fontId="0" fillId="7" borderId="17" xfId="0" applyFill="1" applyBorder="1" applyAlignment="1">
      <alignment horizontal="center" vertical="center"/>
    </xf>
    <xf numFmtId="0" fontId="0" fillId="7" borderId="26" xfId="0" applyFill="1" applyBorder="1" applyAlignment="1">
      <alignment horizontal="center" vertical="center"/>
    </xf>
    <xf numFmtId="0" fontId="9" fillId="6" borderId="19" xfId="0" applyFont="1" applyFill="1" applyBorder="1" applyAlignment="1">
      <alignment horizontal="center"/>
    </xf>
    <xf numFmtId="0" fontId="9" fillId="6" borderId="28" xfId="0" applyFont="1" applyFill="1" applyBorder="1" applyAlignment="1">
      <alignment horizontal="center"/>
    </xf>
    <xf numFmtId="0" fontId="9" fillId="3" borderId="0" xfId="0" applyFont="1" applyFill="1" applyAlignment="1">
      <alignment horizontal="center"/>
    </xf>
    <xf numFmtId="0" fontId="5" fillId="3" borderId="24" xfId="0" applyFont="1" applyFill="1" applyBorder="1"/>
    <xf numFmtId="0" fontId="0" fillId="0" borderId="6" xfId="0" applyBorder="1"/>
    <xf numFmtId="164" fontId="0" fillId="4" borderId="31" xfId="1" applyNumberFormat="1" applyFont="1" applyFill="1" applyBorder="1" applyAlignment="1" applyProtection="1"/>
    <xf numFmtId="164" fontId="0" fillId="4" borderId="27" xfId="1" applyNumberFormat="1" applyFont="1" applyFill="1" applyBorder="1" applyAlignment="1" applyProtection="1"/>
    <xf numFmtId="164" fontId="0" fillId="0" borderId="31" xfId="1" applyNumberFormat="1" applyFont="1" applyBorder="1" applyAlignment="1" applyProtection="1"/>
    <xf numFmtId="164" fontId="0" fillId="0" borderId="32" xfId="1" applyNumberFormat="1" applyFont="1" applyBorder="1" applyAlignment="1" applyProtection="1"/>
    <xf numFmtId="164" fontId="0" fillId="0" borderId="18" xfId="1" applyNumberFormat="1" applyFont="1" applyBorder="1" applyAlignment="1" applyProtection="1"/>
    <xf numFmtId="164" fontId="0" fillId="0" borderId="27" xfId="1" applyNumberFormat="1" applyFont="1" applyFill="1" applyBorder="1" applyAlignment="1" applyProtection="1"/>
    <xf numFmtId="164" fontId="1" fillId="0" borderId="31" xfId="1" applyNumberFormat="1" applyFont="1" applyFill="1" applyBorder="1" applyAlignment="1" applyProtection="1"/>
    <xf numFmtId="164" fontId="0" fillId="0" borderId="32" xfId="1" applyNumberFormat="1" applyFont="1" applyFill="1" applyBorder="1" applyAlignment="1" applyProtection="1"/>
    <xf numFmtId="164" fontId="1" fillId="0" borderId="18" xfId="1" applyNumberFormat="1" applyFont="1" applyFill="1" applyBorder="1" applyAlignment="1" applyProtection="1"/>
    <xf numFmtId="164" fontId="0" fillId="0" borderId="27" xfId="1" applyNumberFormat="1" applyFont="1" applyBorder="1" applyAlignment="1" applyProtection="1"/>
    <xf numFmtId="3" fontId="1" fillId="6" borderId="2" xfId="1" applyNumberFormat="1" applyFont="1" applyFill="1" applyBorder="1" applyAlignment="1" applyProtection="1">
      <alignment horizontal="right" vertical="center"/>
    </xf>
    <xf numFmtId="3" fontId="1" fillId="6" borderId="21" xfId="1" applyNumberFormat="1" applyFont="1" applyFill="1" applyBorder="1" applyAlignment="1" applyProtection="1">
      <alignment horizontal="right" vertical="center"/>
    </xf>
    <xf numFmtId="0" fontId="0" fillId="0" borderId="7" xfId="0" applyBorder="1"/>
    <xf numFmtId="164" fontId="0" fillId="3" borderId="25" xfId="1" applyNumberFormat="1" applyFont="1" applyFill="1" applyBorder="1" applyProtection="1"/>
    <xf numFmtId="164" fontId="0" fillId="3" borderId="24" xfId="1" applyNumberFormat="1" applyFont="1" applyFill="1" applyBorder="1" applyProtection="1"/>
    <xf numFmtId="0" fontId="5" fillId="3" borderId="0" xfId="0" applyFont="1" applyFill="1"/>
    <xf numFmtId="164" fontId="0" fillId="4" borderId="2" xfId="1" applyNumberFormat="1" applyFont="1" applyFill="1" applyBorder="1" applyProtection="1"/>
    <xf numFmtId="164" fontId="0" fillId="4" borderId="21" xfId="1" applyNumberFormat="1" applyFont="1" applyFill="1" applyBorder="1" applyProtection="1"/>
    <xf numFmtId="164" fontId="0" fillId="0" borderId="4" xfId="1" applyNumberFormat="1" applyFont="1" applyBorder="1" applyProtection="1"/>
    <xf numFmtId="164" fontId="0" fillId="0" borderId="15" xfId="1" applyNumberFormat="1" applyFont="1" applyBorder="1" applyProtection="1"/>
    <xf numFmtId="164" fontId="0" fillId="0" borderId="2" xfId="1" applyNumberFormat="1" applyFont="1" applyBorder="1" applyProtection="1"/>
    <xf numFmtId="164" fontId="0" fillId="0" borderId="21" xfId="1" applyNumberFormat="1" applyFont="1" applyFill="1" applyBorder="1" applyProtection="1"/>
    <xf numFmtId="164" fontId="1" fillId="0" borderId="4" xfId="1" applyNumberFormat="1" applyFont="1" applyFill="1" applyBorder="1" applyProtection="1"/>
    <xf numFmtId="164" fontId="0" fillId="0" borderId="15" xfId="1" applyNumberFormat="1" applyFont="1" applyFill="1" applyBorder="1" applyProtection="1"/>
    <xf numFmtId="164" fontId="0" fillId="0" borderId="21" xfId="1" applyNumberFormat="1" applyFont="1" applyBorder="1" applyProtection="1"/>
    <xf numFmtId="0" fontId="2" fillId="3" borderId="0" xfId="0" applyFont="1" applyFill="1"/>
    <xf numFmtId="164" fontId="0" fillId="4" borderId="9" xfId="0" applyNumberFormat="1" applyFill="1" applyBorder="1"/>
    <xf numFmtId="164" fontId="0" fillId="4" borderId="22" xfId="0" applyNumberFormat="1" applyFill="1" applyBorder="1"/>
    <xf numFmtId="164" fontId="0" fillId="0" borderId="8" xfId="0" applyNumberFormat="1" applyBorder="1"/>
    <xf numFmtId="164" fontId="0" fillId="0" borderId="13" xfId="0" applyNumberFormat="1" applyBorder="1"/>
    <xf numFmtId="164" fontId="0" fillId="0" borderId="9" xfId="0" applyNumberFormat="1" applyBorder="1"/>
    <xf numFmtId="164" fontId="0" fillId="0" borderId="22" xfId="0" applyNumberFormat="1" applyBorder="1"/>
    <xf numFmtId="164" fontId="1" fillId="0" borderId="8" xfId="0" applyNumberFormat="1" applyFont="1" applyBorder="1"/>
    <xf numFmtId="3" fontId="1" fillId="6" borderId="9" xfId="1" applyNumberFormat="1" applyFont="1" applyFill="1" applyBorder="1" applyAlignment="1" applyProtection="1">
      <alignment horizontal="right" vertical="center"/>
    </xf>
    <xf numFmtId="3" fontId="1" fillId="6" borderId="22" xfId="1" applyNumberFormat="1" applyFont="1" applyFill="1" applyBorder="1" applyAlignment="1" applyProtection="1">
      <alignment horizontal="right" vertical="center"/>
    </xf>
    <xf numFmtId="164" fontId="0" fillId="4" borderId="9" xfId="1" applyNumberFormat="1" applyFont="1" applyFill="1" applyBorder="1" applyProtection="1"/>
    <xf numFmtId="164" fontId="0" fillId="4" borderId="22" xfId="1" applyNumberFormat="1" applyFont="1" applyFill="1" applyBorder="1" applyProtection="1"/>
    <xf numFmtId="164" fontId="0" fillId="0" borderId="8" xfId="1" applyNumberFormat="1" applyFont="1" applyBorder="1" applyProtection="1"/>
    <xf numFmtId="164" fontId="0" fillId="0" borderId="13" xfId="1" applyNumberFormat="1" applyFont="1" applyBorder="1" applyProtection="1"/>
    <xf numFmtId="164" fontId="0" fillId="0" borderId="9" xfId="1" applyNumberFormat="1" applyFont="1" applyBorder="1" applyProtection="1"/>
    <xf numFmtId="164" fontId="0" fillId="0" borderId="22" xfId="1" applyNumberFormat="1" applyFont="1" applyFill="1" applyBorder="1" applyProtection="1"/>
    <xf numFmtId="164" fontId="0" fillId="0" borderId="13" xfId="1" applyNumberFormat="1" applyFont="1" applyFill="1" applyBorder="1" applyProtection="1"/>
    <xf numFmtId="164" fontId="0" fillId="0" borderId="22" xfId="1" applyNumberFormat="1" applyFont="1" applyBorder="1" applyProtection="1"/>
    <xf numFmtId="164" fontId="5" fillId="6" borderId="9" xfId="1" applyNumberFormat="1" applyFont="1" applyFill="1" applyBorder="1" applyAlignment="1" applyProtection="1"/>
    <xf numFmtId="164" fontId="5" fillId="6" borderId="22" xfId="1" applyNumberFormat="1" applyFont="1" applyFill="1" applyBorder="1" applyAlignment="1" applyProtection="1"/>
    <xf numFmtId="164" fontId="5" fillId="3" borderId="0" xfId="1" applyNumberFormat="1" applyFont="1" applyFill="1" applyBorder="1" applyAlignment="1" applyProtection="1"/>
    <xf numFmtId="164" fontId="0" fillId="4" borderId="8" xfId="1" applyNumberFormat="1" applyFont="1" applyFill="1" applyBorder="1" applyProtection="1"/>
    <xf numFmtId="164" fontId="0" fillId="4" borderId="5" xfId="1" applyNumberFormat="1" applyFont="1" applyFill="1" applyBorder="1" applyProtection="1"/>
    <xf numFmtId="164" fontId="0" fillId="0" borderId="23" xfId="1" applyNumberFormat="1" applyFont="1" applyFill="1" applyBorder="1" applyProtection="1"/>
    <xf numFmtId="164" fontId="1" fillId="0" borderId="5" xfId="1" applyNumberFormat="1" applyFont="1" applyFill="1" applyBorder="1" applyProtection="1"/>
    <xf numFmtId="43" fontId="0" fillId="3" borderId="0" xfId="1" applyFont="1" applyFill="1" applyBorder="1" applyProtection="1"/>
    <xf numFmtId="0" fontId="6" fillId="7" borderId="1" xfId="0" applyFont="1" applyFill="1" applyBorder="1" applyAlignment="1">
      <alignment wrapText="1"/>
    </xf>
    <xf numFmtId="164" fontId="6" fillId="9" borderId="19" xfId="1" applyNumberFormat="1" applyFont="1" applyFill="1" applyBorder="1" applyAlignment="1" applyProtection="1">
      <alignment horizontal="center" vertical="center"/>
    </xf>
    <xf numFmtId="164" fontId="6" fillId="11" borderId="28" xfId="0" applyNumberFormat="1" applyFont="1" applyFill="1" applyBorder="1" applyAlignment="1">
      <alignment horizontal="center" vertical="center"/>
    </xf>
    <xf numFmtId="168" fontId="6" fillId="9" borderId="19" xfId="1" applyNumberFormat="1" applyFont="1" applyFill="1" applyBorder="1" applyAlignment="1" applyProtection="1">
      <alignment horizontal="center" vertical="center"/>
    </xf>
    <xf numFmtId="0" fontId="9" fillId="3" borderId="0" xfId="0" applyFont="1" applyFill="1" applyAlignment="1">
      <alignment horizontal="center" vertical="center"/>
    </xf>
    <xf numFmtId="0" fontId="11" fillId="3" borderId="0" xfId="0" applyFont="1" applyFill="1"/>
    <xf numFmtId="0" fontId="0" fillId="0" borderId="29" xfId="0" applyBorder="1"/>
    <xf numFmtId="164" fontId="0" fillId="4" borderId="4" xfId="1" applyNumberFormat="1" applyFont="1" applyFill="1" applyBorder="1" applyProtection="1"/>
    <xf numFmtId="167" fontId="1" fillId="6" borderId="2" xfId="1" applyNumberFormat="1" applyFont="1" applyFill="1" applyBorder="1" applyAlignment="1" applyProtection="1">
      <alignment horizontal="right" vertical="center"/>
    </xf>
    <xf numFmtId="167" fontId="1" fillId="6" borderId="30" xfId="1" applyNumberFormat="1" applyFont="1" applyFill="1" applyBorder="1" applyAlignment="1" applyProtection="1">
      <alignment horizontal="right" vertical="center"/>
    </xf>
    <xf numFmtId="167" fontId="1" fillId="6" borderId="9" xfId="1" applyNumberFormat="1" applyFont="1" applyFill="1" applyBorder="1" applyAlignment="1" applyProtection="1">
      <alignment horizontal="right" vertical="center"/>
    </xf>
    <xf numFmtId="167" fontId="1" fillId="6" borderId="11" xfId="1" applyNumberFormat="1" applyFont="1" applyFill="1" applyBorder="1" applyAlignment="1" applyProtection="1">
      <alignment horizontal="right" vertical="center"/>
    </xf>
    <xf numFmtId="164" fontId="0" fillId="4" borderId="23" xfId="1" applyNumberFormat="1" applyFont="1" applyFill="1" applyBorder="1" applyProtection="1"/>
    <xf numFmtId="164" fontId="0" fillId="0" borderId="5" xfId="1" applyNumberFormat="1" applyFont="1" applyBorder="1" applyProtection="1"/>
    <xf numFmtId="164" fontId="0" fillId="0" borderId="14" xfId="1" applyNumberFormat="1" applyFont="1" applyBorder="1" applyProtection="1"/>
    <xf numFmtId="164" fontId="0" fillId="0" borderId="3" xfId="1" applyNumberFormat="1" applyFont="1" applyBorder="1" applyProtection="1"/>
    <xf numFmtId="164" fontId="0" fillId="0" borderId="14" xfId="1" applyNumberFormat="1" applyFont="1" applyFill="1" applyBorder="1" applyProtection="1"/>
    <xf numFmtId="167" fontId="1" fillId="6" borderId="3" xfId="1" applyNumberFormat="1" applyFont="1" applyFill="1" applyBorder="1" applyAlignment="1" applyProtection="1">
      <alignment horizontal="right" vertical="center"/>
    </xf>
    <xf numFmtId="167" fontId="1" fillId="6" borderId="12" xfId="1" applyNumberFormat="1" applyFont="1" applyFill="1" applyBorder="1" applyAlignment="1" applyProtection="1">
      <alignment horizontal="right" vertical="center"/>
    </xf>
    <xf numFmtId="164" fontId="0" fillId="3" borderId="1" xfId="0" applyNumberFormat="1" applyFill="1" applyBorder="1"/>
    <xf numFmtId="164" fontId="0" fillId="3" borderId="0" xfId="0" applyNumberFormat="1" applyFill="1"/>
    <xf numFmtId="164" fontId="0" fillId="3" borderId="25" xfId="0" applyNumberFormat="1" applyFill="1" applyBorder="1"/>
    <xf numFmtId="164" fontId="0" fillId="3" borderId="24" xfId="0" applyNumberFormat="1" applyFill="1" applyBorder="1"/>
    <xf numFmtId="164" fontId="5" fillId="3" borderId="0" xfId="1" applyNumberFormat="1" applyFont="1" applyFill="1" applyBorder="1" applyProtection="1"/>
    <xf numFmtId="0" fontId="0" fillId="3" borderId="33" xfId="0" applyFill="1" applyBorder="1"/>
    <xf numFmtId="0" fontId="0" fillId="3" borderId="16" xfId="0" applyFill="1" applyBorder="1"/>
    <xf numFmtId="0" fontId="0" fillId="3" borderId="17" xfId="0" applyFill="1" applyBorder="1"/>
    <xf numFmtId="164" fontId="0" fillId="0" borderId="6" xfId="0" applyNumberFormat="1" applyBorder="1"/>
    <xf numFmtId="164" fontId="0" fillId="0" borderId="30" xfId="0" applyNumberFormat="1" applyBorder="1"/>
    <xf numFmtId="164" fontId="0" fillId="0" borderId="4" xfId="0" applyNumberFormat="1" applyBorder="1"/>
    <xf numFmtId="164" fontId="0" fillId="0" borderId="15" xfId="0" applyNumberFormat="1" applyBorder="1"/>
    <xf numFmtId="164" fontId="0" fillId="0" borderId="2" xfId="0" applyNumberFormat="1" applyBorder="1"/>
    <xf numFmtId="164" fontId="0" fillId="0" borderId="21" xfId="0" applyNumberFormat="1" applyBorder="1"/>
    <xf numFmtId="167" fontId="0" fillId="7" borderId="4" xfId="1" applyNumberFormat="1" applyFont="1" applyFill="1" applyBorder="1" applyProtection="1"/>
    <xf numFmtId="167" fontId="0" fillId="7" borderId="21" xfId="1" applyNumberFormat="1" applyFont="1" applyFill="1" applyBorder="1" applyProtection="1"/>
    <xf numFmtId="164" fontId="0" fillId="0" borderId="10" xfId="0" applyNumberFormat="1" applyBorder="1"/>
    <xf numFmtId="164" fontId="0" fillId="0" borderId="11" xfId="0" applyNumberFormat="1" applyBorder="1"/>
    <xf numFmtId="167" fontId="0" fillId="7" borderId="8" xfId="1" applyNumberFormat="1" applyFont="1" applyFill="1" applyBorder="1" applyProtection="1"/>
    <xf numFmtId="167" fontId="0" fillId="7" borderId="22" xfId="1" applyNumberFormat="1" applyFont="1" applyFill="1" applyBorder="1" applyProtection="1"/>
    <xf numFmtId="164" fontId="0" fillId="0" borderId="7" xfId="0" applyNumberFormat="1" applyBorder="1"/>
    <xf numFmtId="164" fontId="0" fillId="0" borderId="12" xfId="0" applyNumberFormat="1" applyBorder="1"/>
    <xf numFmtId="164" fontId="0" fillId="0" borderId="5" xfId="0" applyNumberFormat="1" applyBorder="1"/>
    <xf numFmtId="164" fontId="0" fillId="0" borderId="14" xfId="0" applyNumberFormat="1" applyBorder="1"/>
    <xf numFmtId="164" fontId="0" fillId="0" borderId="3" xfId="0" applyNumberFormat="1" applyBorder="1"/>
    <xf numFmtId="164" fontId="0" fillId="0" borderId="23" xfId="0" applyNumberFormat="1" applyBorder="1"/>
    <xf numFmtId="167" fontId="0" fillId="7" borderId="5" xfId="1" applyNumberFormat="1" applyFont="1" applyFill="1" applyBorder="1" applyProtection="1"/>
    <xf numFmtId="167" fontId="0" fillId="7" borderId="23" xfId="1" applyNumberFormat="1" applyFont="1" applyFill="1" applyBorder="1" applyProtection="1"/>
    <xf numFmtId="164" fontId="6" fillId="7" borderId="1" xfId="0" applyNumberFormat="1" applyFont="1" applyFill="1" applyBorder="1"/>
    <xf numFmtId="166" fontId="4" fillId="5" borderId="26" xfId="0" applyNumberFormat="1" applyFont="1" applyFill="1" applyBorder="1"/>
    <xf numFmtId="166" fontId="6" fillId="11" borderId="26" xfId="0" applyNumberFormat="1" applyFont="1" applyFill="1" applyBorder="1"/>
    <xf numFmtId="166" fontId="4" fillId="5" borderId="16" xfId="0" applyNumberFormat="1" applyFont="1" applyFill="1" applyBorder="1"/>
    <xf numFmtId="166" fontId="6" fillId="11" borderId="1" xfId="0" applyNumberFormat="1" applyFont="1" applyFill="1" applyBorder="1"/>
    <xf numFmtId="169" fontId="4" fillId="5" borderId="16" xfId="0" applyNumberFormat="1" applyFont="1" applyFill="1" applyBorder="1"/>
    <xf numFmtId="169" fontId="6" fillId="11" borderId="1" xfId="0" applyNumberFormat="1" applyFont="1" applyFill="1" applyBorder="1"/>
    <xf numFmtId="0" fontId="0" fillId="3" borderId="0" xfId="0" applyFill="1" applyAlignment="1">
      <alignment horizontal="center" wrapText="1"/>
    </xf>
    <xf numFmtId="0" fontId="5" fillId="4" borderId="30" xfId="0" applyFont="1" applyFill="1" applyBorder="1" applyProtection="1">
      <protection locked="0"/>
    </xf>
    <xf numFmtId="0" fontId="5" fillId="4" borderId="11" xfId="0" applyFont="1" applyFill="1" applyBorder="1" applyProtection="1">
      <protection locked="0"/>
    </xf>
    <xf numFmtId="165" fontId="5" fillId="0" borderId="11" xfId="1" applyNumberFormat="1" applyFont="1" applyBorder="1" applyProtection="1">
      <protection locked="0"/>
    </xf>
    <xf numFmtId="10" fontId="5" fillId="4" borderId="11" xfId="2" applyNumberFormat="1" applyFont="1" applyFill="1" applyBorder="1" applyProtection="1">
      <protection locked="0"/>
    </xf>
    <xf numFmtId="10" fontId="5" fillId="8" borderId="12" xfId="2" applyNumberFormat="1" applyFont="1" applyFill="1" applyBorder="1" applyProtection="1">
      <protection locked="0"/>
    </xf>
    <xf numFmtId="9" fontId="9" fillId="7" borderId="17" xfId="2" applyFont="1" applyFill="1" applyBorder="1" applyProtection="1">
      <protection locked="0"/>
    </xf>
    <xf numFmtId="164" fontId="5" fillId="0" borderId="1" xfId="1" applyNumberFormat="1" applyFont="1" applyFill="1" applyBorder="1" applyProtection="1">
      <protection locked="0"/>
    </xf>
    <xf numFmtId="0" fontId="0" fillId="4" borderId="26" xfId="0" applyFill="1" applyBorder="1" applyAlignment="1" applyProtection="1">
      <alignment horizontal="center" vertical="center" wrapText="1"/>
      <protection locked="0"/>
    </xf>
    <xf numFmtId="0" fontId="0" fillId="4" borderId="28" xfId="0" applyFill="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4" borderId="20" xfId="0" applyFill="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 fillId="6" borderId="19" xfId="0" applyFont="1" applyFill="1" applyBorder="1" applyAlignment="1" applyProtection="1">
      <alignment horizontal="center" vertical="center" wrapText="1"/>
      <protection locked="0"/>
    </xf>
    <xf numFmtId="0" fontId="5" fillId="6" borderId="28" xfId="0" applyFont="1" applyFill="1" applyBorder="1" applyAlignment="1" applyProtection="1">
      <alignment horizontal="center" vertical="center" wrapText="1"/>
      <protection locked="0"/>
    </xf>
    <xf numFmtId="0" fontId="4" fillId="5" borderId="33" xfId="0" applyFont="1" applyFill="1" applyBorder="1" applyAlignment="1" applyProtection="1">
      <alignment horizontal="center" vertical="center"/>
      <protection locked="0"/>
    </xf>
    <xf numFmtId="0" fontId="6" fillId="11" borderId="16"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wrapText="1"/>
      <protection locked="0"/>
    </xf>
    <xf numFmtId="0" fontId="6" fillId="11" borderId="20"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center" vertical="center" wrapText="1"/>
      <protection locked="0"/>
    </xf>
    <xf numFmtId="0" fontId="6" fillId="11" borderId="28"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wrapText="1"/>
      <protection locked="0"/>
    </xf>
    <xf numFmtId="0" fontId="6" fillId="11" borderId="16" xfId="0" applyFont="1" applyFill="1" applyBorder="1" applyAlignment="1" applyProtection="1">
      <alignment horizontal="center" wrapText="1"/>
      <protection locked="0"/>
    </xf>
    <xf numFmtId="0" fontId="6" fillId="11" borderId="17" xfId="0" applyFont="1" applyFill="1" applyBorder="1" applyAlignment="1" applyProtection="1">
      <alignment horizontal="center" vertical="center" wrapText="1"/>
      <protection locked="0"/>
    </xf>
    <xf numFmtId="0" fontId="12" fillId="5" borderId="19" xfId="0" applyFont="1" applyFill="1" applyBorder="1" applyAlignment="1" applyProtection="1">
      <alignment horizontal="center" vertical="center" wrapText="1"/>
      <protection locked="0"/>
    </xf>
    <xf numFmtId="0" fontId="12" fillId="11" borderId="17" xfId="0" applyFont="1" applyFill="1" applyBorder="1" applyAlignment="1" applyProtection="1">
      <alignment horizontal="center" vertical="center" wrapText="1"/>
      <protection locked="0"/>
    </xf>
    <xf numFmtId="164" fontId="0" fillId="4" borderId="19" xfId="1" applyNumberFormat="1" applyFont="1" applyFill="1" applyBorder="1" applyProtection="1">
      <protection locked="0"/>
    </xf>
    <xf numFmtId="0" fontId="0" fillId="4" borderId="17" xfId="0" applyFill="1" applyBorder="1" applyAlignment="1" applyProtection="1">
      <alignment horizontal="center"/>
      <protection locked="0"/>
    </xf>
    <xf numFmtId="0" fontId="0" fillId="0" borderId="20" xfId="0" applyBorder="1" applyAlignment="1" applyProtection="1">
      <alignment horizontal="center"/>
      <protection locked="0"/>
    </xf>
    <xf numFmtId="0" fontId="0" fillId="0" borderId="28" xfId="0" applyBorder="1" applyAlignment="1" applyProtection="1">
      <alignment horizontal="center"/>
      <protection locked="0"/>
    </xf>
    <xf numFmtId="164" fontId="0" fillId="4" borderId="33" xfId="1" applyNumberFormat="1" applyFont="1" applyFill="1" applyBorder="1" applyProtection="1">
      <protection locked="0"/>
    </xf>
    <xf numFmtId="164" fontId="0" fillId="4" borderId="28" xfId="1" applyNumberFormat="1" applyFont="1" applyFill="1" applyBorder="1" applyProtection="1">
      <protection locked="0"/>
    </xf>
    <xf numFmtId="164" fontId="0" fillId="6" borderId="33" xfId="1" applyNumberFormat="1" applyFont="1" applyFill="1" applyBorder="1" applyProtection="1">
      <protection locked="0"/>
    </xf>
    <xf numFmtId="0" fontId="5" fillId="6" borderId="28" xfId="0" applyFont="1" applyFill="1" applyBorder="1" applyAlignment="1" applyProtection="1">
      <alignment horizontal="center"/>
      <protection locked="0"/>
    </xf>
    <xf numFmtId="0" fontId="5" fillId="3" borderId="19" xfId="0" applyFont="1" applyFill="1" applyBorder="1" applyAlignment="1" applyProtection="1">
      <alignment horizontal="center"/>
      <protection locked="0"/>
    </xf>
    <xf numFmtId="0" fontId="5" fillId="3" borderId="28" xfId="0" applyFont="1" applyFill="1" applyBorder="1" applyAlignment="1" applyProtection="1">
      <alignment horizontal="center"/>
      <protection locked="0"/>
    </xf>
    <xf numFmtId="0" fontId="5" fillId="3" borderId="34" xfId="0" applyFont="1" applyFill="1" applyBorder="1" applyAlignment="1" applyProtection="1">
      <alignment horizontal="center"/>
      <protection locked="0"/>
    </xf>
    <xf numFmtId="0" fontId="5" fillId="6" borderId="19" xfId="0" applyFont="1" applyFill="1" applyBorder="1" applyAlignment="1" applyProtection="1">
      <alignment horizontal="center"/>
      <protection locked="0"/>
    </xf>
    <xf numFmtId="164" fontId="5" fillId="4" borderId="5" xfId="1" applyNumberFormat="1" applyFont="1" applyFill="1" applyBorder="1" applyAlignment="1" applyProtection="1">
      <protection locked="0"/>
    </xf>
    <xf numFmtId="164" fontId="5" fillId="4" borderId="23" xfId="1" applyNumberFormat="1" applyFont="1" applyFill="1" applyBorder="1" applyAlignment="1" applyProtection="1">
      <protection locked="0"/>
    </xf>
    <xf numFmtId="164" fontId="5" fillId="0" borderId="5" xfId="1" applyNumberFormat="1" applyFont="1" applyBorder="1" applyAlignment="1" applyProtection="1">
      <protection locked="0"/>
    </xf>
    <xf numFmtId="164" fontId="5" fillId="0" borderId="14" xfId="1" applyNumberFormat="1" applyFont="1" applyBorder="1" applyAlignment="1" applyProtection="1">
      <protection locked="0"/>
    </xf>
    <xf numFmtId="164" fontId="5" fillId="0" borderId="3" xfId="1" applyNumberFormat="1" applyFont="1" applyBorder="1" applyAlignment="1" applyProtection="1">
      <protection locked="0"/>
    </xf>
    <xf numFmtId="164" fontId="5" fillId="0" borderId="23" xfId="1" applyNumberFormat="1" applyFont="1" applyFill="1" applyBorder="1" applyAlignment="1" applyProtection="1">
      <protection locked="0"/>
    </xf>
    <xf numFmtId="164" fontId="5" fillId="0" borderId="5" xfId="1" applyNumberFormat="1" applyFont="1" applyFill="1" applyBorder="1" applyAlignment="1" applyProtection="1">
      <protection locked="0"/>
    </xf>
    <xf numFmtId="164" fontId="5" fillId="0" borderId="14" xfId="1" applyNumberFormat="1" applyFont="1" applyFill="1" applyBorder="1" applyAlignment="1" applyProtection="1">
      <protection locked="0"/>
    </xf>
    <xf numFmtId="164" fontId="5" fillId="0" borderId="3" xfId="1" applyNumberFormat="1" applyFont="1" applyFill="1" applyBorder="1" applyAlignment="1" applyProtection="1">
      <protection locked="0"/>
    </xf>
    <xf numFmtId="164" fontId="5" fillId="0" borderId="23" xfId="1" applyNumberFormat="1" applyFont="1" applyBorder="1" applyAlignment="1" applyProtection="1">
      <protection locked="0"/>
    </xf>
    <xf numFmtId="3" fontId="5" fillId="6" borderId="3" xfId="1" applyNumberFormat="1" applyFont="1" applyFill="1" applyBorder="1" applyAlignment="1" applyProtection="1">
      <alignment horizontal="right"/>
      <protection locked="0"/>
    </xf>
    <xf numFmtId="3" fontId="5" fillId="6" borderId="23" xfId="1" applyNumberFormat="1" applyFont="1" applyFill="1" applyBorder="1" applyAlignment="1" applyProtection="1">
      <alignment horizontal="right"/>
      <protection locked="0"/>
    </xf>
    <xf numFmtId="164" fontId="0" fillId="3" borderId="0" xfId="1" applyNumberFormat="1" applyFont="1" applyFill="1" applyBorder="1" applyProtection="1">
      <protection locked="0"/>
    </xf>
    <xf numFmtId="164" fontId="0" fillId="3" borderId="25" xfId="1" applyNumberFormat="1" applyFont="1" applyFill="1" applyBorder="1" applyProtection="1">
      <protection locked="0"/>
    </xf>
    <xf numFmtId="164" fontId="0" fillId="3" borderId="0" xfId="1" applyNumberFormat="1" applyFont="1" applyFill="1" applyProtection="1">
      <protection locked="0"/>
    </xf>
    <xf numFmtId="164" fontId="0" fillId="3" borderId="24" xfId="1" applyNumberFormat="1" applyFont="1" applyFill="1" applyBorder="1" applyProtection="1">
      <protection locked="0"/>
    </xf>
    <xf numFmtId="0" fontId="0" fillId="3" borderId="24" xfId="0" applyFill="1" applyBorder="1" applyProtection="1">
      <protection locked="0"/>
    </xf>
    <xf numFmtId="0" fontId="0" fillId="3" borderId="25" xfId="0" applyFill="1" applyBorder="1" applyProtection="1">
      <protection locked="0"/>
    </xf>
    <xf numFmtId="164" fontId="0" fillId="2" borderId="4" xfId="1" applyNumberFormat="1" applyFont="1" applyFill="1" applyBorder="1" applyProtection="1">
      <protection locked="0"/>
    </xf>
    <xf numFmtId="164" fontId="0" fillId="2" borderId="15" xfId="1" applyNumberFormat="1" applyFont="1" applyFill="1" applyBorder="1" applyProtection="1">
      <protection locked="0"/>
    </xf>
    <xf numFmtId="164" fontId="0" fillId="2" borderId="2" xfId="1" applyNumberFormat="1" applyFont="1" applyFill="1" applyBorder="1" applyProtection="1">
      <protection locked="0"/>
    </xf>
    <xf numFmtId="164" fontId="0" fillId="2" borderId="21" xfId="1" applyNumberFormat="1" applyFont="1" applyFill="1" applyBorder="1" applyProtection="1">
      <protection locked="0"/>
    </xf>
    <xf numFmtId="3" fontId="5" fillId="6" borderId="36" xfId="1" applyNumberFormat="1" applyFont="1" applyFill="1" applyBorder="1" applyAlignment="1" applyProtection="1">
      <alignment horizontal="right" vertical="center"/>
      <protection locked="0"/>
    </xf>
    <xf numFmtId="3" fontId="5" fillId="6" borderId="37" xfId="1" applyNumberFormat="1" applyFont="1" applyFill="1" applyBorder="1" applyAlignment="1" applyProtection="1">
      <alignment horizontal="right" vertical="center"/>
      <protection locked="0"/>
    </xf>
    <xf numFmtId="164" fontId="0" fillId="2" borderId="5" xfId="1" applyNumberFormat="1" applyFont="1" applyFill="1" applyBorder="1" applyProtection="1">
      <protection locked="0"/>
    </xf>
    <xf numFmtId="164" fontId="0" fillId="2" borderId="14" xfId="1" applyNumberFormat="1" applyFont="1" applyFill="1" applyBorder="1" applyProtection="1">
      <protection locked="0"/>
    </xf>
    <xf numFmtId="164" fontId="0" fillId="2" borderId="3" xfId="1" applyNumberFormat="1" applyFont="1" applyFill="1" applyBorder="1" applyProtection="1">
      <protection locked="0"/>
    </xf>
    <xf numFmtId="164" fontId="0" fillId="2" borderId="23" xfId="1" applyNumberFormat="1" applyFont="1" applyFill="1" applyBorder="1" applyProtection="1">
      <protection locked="0"/>
    </xf>
    <xf numFmtId="3" fontId="5" fillId="6" borderId="3" xfId="1" applyNumberFormat="1" applyFont="1" applyFill="1" applyBorder="1" applyAlignment="1" applyProtection="1">
      <alignment horizontal="right" vertical="center"/>
      <protection locked="0"/>
    </xf>
    <xf numFmtId="43" fontId="0" fillId="0" borderId="0" xfId="1" applyFont="1" applyFill="1"/>
    <xf numFmtId="164" fontId="0" fillId="4" borderId="8" xfId="1" applyNumberFormat="1" applyFont="1" applyFill="1" applyBorder="1" applyProtection="1">
      <protection locked="0"/>
    </xf>
    <xf numFmtId="164" fontId="0" fillId="4" borderId="22" xfId="1" applyNumberFormat="1" applyFont="1" applyFill="1" applyBorder="1" applyProtection="1">
      <protection locked="0"/>
    </xf>
    <xf numFmtId="164" fontId="0" fillId="0" borderId="8" xfId="1" applyNumberFormat="1" applyFont="1" applyFill="1" applyBorder="1" applyProtection="1">
      <protection locked="0"/>
    </xf>
    <xf numFmtId="164" fontId="0" fillId="0" borderId="9" xfId="1" applyNumberFormat="1" applyFont="1" applyFill="1" applyBorder="1" applyProtection="1">
      <protection locked="0"/>
    </xf>
    <xf numFmtId="164" fontId="1" fillId="0" borderId="8" xfId="1" applyNumberFormat="1" applyFont="1" applyFill="1" applyBorder="1" applyProtection="1">
      <protection locked="0"/>
    </xf>
    <xf numFmtId="3" fontId="5" fillId="6" borderId="35" xfId="1" applyNumberFormat="1" applyFont="1" applyFill="1" applyBorder="1" applyAlignment="1" applyProtection="1">
      <alignment horizontal="right" vertical="center"/>
      <protection locked="0"/>
    </xf>
    <xf numFmtId="164" fontId="0" fillId="6" borderId="22" xfId="1" applyNumberFormat="1" applyFont="1" applyFill="1" applyBorder="1" applyProtection="1">
      <protection locked="0"/>
    </xf>
    <xf numFmtId="164" fontId="0" fillId="4" borderId="5" xfId="1" applyNumberFormat="1" applyFont="1" applyFill="1" applyBorder="1" applyProtection="1">
      <protection locked="0"/>
    </xf>
    <xf numFmtId="164" fontId="0" fillId="0" borderId="23" xfId="1" applyNumberFormat="1" applyFont="1" applyFill="1" applyBorder="1" applyProtection="1">
      <protection locked="0"/>
    </xf>
    <xf numFmtId="164" fontId="0" fillId="0" borderId="5" xfId="1" applyNumberFormat="1" applyFont="1" applyFill="1" applyBorder="1" applyProtection="1">
      <protection locked="0"/>
    </xf>
    <xf numFmtId="164" fontId="0" fillId="0" borderId="3" xfId="1" applyNumberFormat="1" applyFont="1" applyFill="1" applyBorder="1" applyProtection="1">
      <protection locked="0"/>
    </xf>
    <xf numFmtId="164" fontId="1" fillId="0" borderId="5" xfId="1" applyNumberFormat="1" applyFont="1" applyFill="1" applyBorder="1" applyProtection="1">
      <protection locked="0"/>
    </xf>
    <xf numFmtId="164" fontId="0" fillId="6" borderId="23" xfId="1" applyNumberFormat="1" applyFont="1" applyFill="1" applyBorder="1" applyProtection="1">
      <protection locked="0"/>
    </xf>
    <xf numFmtId="9" fontId="0" fillId="10" borderId="0" xfId="2" applyFont="1" applyFill="1" applyProtection="1">
      <protection locked="0"/>
    </xf>
    <xf numFmtId="9" fontId="0" fillId="8" borderId="0" xfId="2" applyFont="1" applyFill="1" applyProtection="1">
      <protection locked="0"/>
    </xf>
    <xf numFmtId="0" fontId="13" fillId="4" borderId="0" xfId="0" applyFont="1" applyFill="1" applyAlignment="1">
      <alignment wrapText="1"/>
    </xf>
    <xf numFmtId="0" fontId="0" fillId="4" borderId="38" xfId="0" applyFill="1" applyBorder="1"/>
    <xf numFmtId="0" fontId="0" fillId="4" borderId="39" xfId="0" applyFill="1" applyBorder="1"/>
    <xf numFmtId="0" fontId="0" fillId="4" borderId="31" xfId="0" applyFill="1" applyBorder="1"/>
    <xf numFmtId="0" fontId="17" fillId="12" borderId="0" xfId="0" applyFont="1" applyFill="1" applyAlignment="1">
      <alignment horizontal="center" vertical="center" wrapText="1"/>
    </xf>
    <xf numFmtId="0" fontId="14" fillId="4" borderId="0" xfId="0" applyFont="1" applyFill="1" applyAlignment="1">
      <alignment wrapText="1"/>
    </xf>
    <xf numFmtId="0" fontId="13" fillId="4" borderId="0" xfId="0" applyFont="1" applyFill="1"/>
    <xf numFmtId="0" fontId="16" fillId="4" borderId="0" xfId="3" applyFont="1" applyFill="1" applyBorder="1" applyAlignment="1">
      <alignment wrapText="1"/>
    </xf>
    <xf numFmtId="0" fontId="15" fillId="4" borderId="0" xfId="0" applyFont="1" applyFill="1" applyAlignment="1">
      <alignment wrapText="1"/>
    </xf>
    <xf numFmtId="0" fontId="0" fillId="4" borderId="41" xfId="0" applyFill="1" applyBorder="1"/>
    <xf numFmtId="0" fontId="13" fillId="4" borderId="42" xfId="0" applyFont="1" applyFill="1" applyBorder="1" applyAlignment="1">
      <alignment wrapText="1"/>
    </xf>
    <xf numFmtId="0" fontId="0" fillId="4" borderId="40" xfId="0" applyFill="1" applyBorder="1"/>
    <xf numFmtId="0" fontId="0" fillId="4" borderId="32" xfId="0" applyFill="1" applyBorder="1"/>
    <xf numFmtId="0" fontId="13" fillId="4" borderId="43" xfId="0" applyFont="1" applyFill="1" applyBorder="1" applyAlignment="1">
      <alignment wrapText="1"/>
    </xf>
    <xf numFmtId="0" fontId="4" fillId="5" borderId="0" xfId="0" applyFont="1" applyFill="1" applyAlignment="1">
      <alignment horizontal="left" vertical="center"/>
    </xf>
    <xf numFmtId="0" fontId="2" fillId="3" borderId="0" xfId="0" applyFont="1" applyFill="1" applyAlignment="1">
      <alignment horizontal="center"/>
    </xf>
    <xf numFmtId="0" fontId="7" fillId="3" borderId="24" xfId="3" applyFill="1" applyBorder="1" applyAlignment="1" applyProtection="1">
      <alignment horizontal="left"/>
    </xf>
    <xf numFmtId="0" fontId="7" fillId="3" borderId="0" xfId="3" applyFill="1" applyAlignment="1" applyProtection="1">
      <alignment horizontal="left"/>
    </xf>
  </cellXfs>
  <cellStyles count="4">
    <cellStyle name="Komma" xfId="1" builtinId="3"/>
    <cellStyle name="Link" xfId="3" builtinId="8"/>
    <cellStyle name="Normal" xfId="0" builtinId="0"/>
    <cellStyle name="Procent" xfId="2" builtinId="5"/>
  </cellStyles>
  <dxfs count="0"/>
  <tableStyles count="0" defaultTableStyle="TableStyleMedium2" defaultPivotStyle="PivotStyleLight16"/>
  <colors>
    <mruColors>
      <color rgb="FF00778A"/>
      <color rgb="FFFF4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pi.dk/skaleringsproces/sammen-om-emissionsfrie-arbejdsmaskiner/"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rivkraftdanmark.dk/priser/dies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4111D-1E4D-4A9E-8CA2-E9E7BD892EAE}">
  <dimension ref="A1:C45"/>
  <sheetViews>
    <sheetView workbookViewId="0">
      <selection activeCell="B5" sqref="B5"/>
    </sheetView>
  </sheetViews>
  <sheetFormatPr defaultColWidth="8.75" defaultRowHeight="15.75"/>
  <cols>
    <col min="1" max="1" width="2.875" style="4" customWidth="1"/>
    <col min="2" max="2" width="104.875" style="242" customWidth="1"/>
    <col min="3" max="3" width="3.25" style="4" customWidth="1"/>
    <col min="4" max="16384" width="8.75" style="4"/>
  </cols>
  <sheetData>
    <row r="1" spans="1:3">
      <c r="A1" s="251"/>
      <c r="B1" s="252"/>
      <c r="C1" s="243"/>
    </row>
    <row r="2" spans="1:3" ht="72.599999999999994" customHeight="1">
      <c r="A2" s="253"/>
      <c r="B2" s="246" t="s">
        <v>102</v>
      </c>
      <c r="C2" s="244"/>
    </row>
    <row r="3" spans="1:3" ht="10.15" customHeight="1">
      <c r="A3" s="253"/>
      <c r="C3" s="244"/>
    </row>
    <row r="4" spans="1:3">
      <c r="A4" s="253"/>
      <c r="B4" s="247" t="s">
        <v>32</v>
      </c>
      <c r="C4" s="244"/>
    </row>
    <row r="5" spans="1:3" ht="39">
      <c r="A5" s="253"/>
      <c r="B5" s="242" t="s">
        <v>91</v>
      </c>
      <c r="C5" s="244"/>
    </row>
    <row r="6" spans="1:3" ht="10.15" customHeight="1">
      <c r="A6" s="253"/>
      <c r="C6" s="244"/>
    </row>
    <row r="7" spans="1:3" ht="13.9" customHeight="1">
      <c r="A7" s="253"/>
      <c r="B7" s="248" t="s">
        <v>104</v>
      </c>
      <c r="C7" s="244"/>
    </row>
    <row r="8" spans="1:3" ht="12.6" customHeight="1">
      <c r="A8" s="253"/>
      <c r="B8" s="249" t="s">
        <v>105</v>
      </c>
      <c r="C8" s="244"/>
    </row>
    <row r="9" spans="1:3" ht="10.15" customHeight="1">
      <c r="A9" s="253"/>
      <c r="C9" s="244"/>
    </row>
    <row r="10" spans="1:3" ht="64.5">
      <c r="A10" s="253"/>
      <c r="B10" s="242" t="s">
        <v>103</v>
      </c>
      <c r="C10" s="244"/>
    </row>
    <row r="11" spans="1:3" ht="10.15" customHeight="1">
      <c r="A11" s="253"/>
      <c r="C11" s="244"/>
    </row>
    <row r="12" spans="1:3" ht="26.25">
      <c r="A12" s="253"/>
      <c r="B12" s="242" t="s">
        <v>92</v>
      </c>
      <c r="C12" s="244"/>
    </row>
    <row r="13" spans="1:3" ht="10.15" customHeight="1">
      <c r="A13" s="253"/>
      <c r="C13" s="244"/>
    </row>
    <row r="14" spans="1:3" ht="26.25">
      <c r="A14" s="253"/>
      <c r="B14" s="250" t="s">
        <v>93</v>
      </c>
      <c r="C14" s="244"/>
    </row>
    <row r="15" spans="1:3" ht="10.15" customHeight="1">
      <c r="A15" s="253"/>
      <c r="C15" s="244"/>
    </row>
    <row r="16" spans="1:3">
      <c r="A16" s="253"/>
      <c r="B16" s="247" t="s">
        <v>33</v>
      </c>
      <c r="C16" s="244"/>
    </row>
    <row r="17" spans="1:3" ht="39">
      <c r="A17" s="253"/>
      <c r="B17" s="242" t="s">
        <v>94</v>
      </c>
      <c r="C17" s="244"/>
    </row>
    <row r="18" spans="1:3" ht="10.15" customHeight="1">
      <c r="A18" s="253"/>
      <c r="C18" s="244"/>
    </row>
    <row r="19" spans="1:3" ht="26.25">
      <c r="A19" s="253"/>
      <c r="B19" s="242" t="s">
        <v>95</v>
      </c>
      <c r="C19" s="244"/>
    </row>
    <row r="20" spans="1:3" ht="10.15" customHeight="1">
      <c r="A20" s="253"/>
      <c r="C20" s="244"/>
    </row>
    <row r="21" spans="1:3">
      <c r="A21" s="253"/>
      <c r="B21" s="242" t="s">
        <v>34</v>
      </c>
      <c r="C21" s="244"/>
    </row>
    <row r="22" spans="1:3" ht="10.15" customHeight="1">
      <c r="A22" s="253"/>
      <c r="C22" s="244"/>
    </row>
    <row r="23" spans="1:3" ht="51.75">
      <c r="A23" s="253"/>
      <c r="B23" s="242" t="s">
        <v>96</v>
      </c>
      <c r="C23" s="244"/>
    </row>
    <row r="24" spans="1:3" ht="10.15" customHeight="1">
      <c r="A24" s="253"/>
      <c r="C24" s="244"/>
    </row>
    <row r="25" spans="1:3">
      <c r="A25" s="253"/>
      <c r="B25" s="247" t="s">
        <v>35</v>
      </c>
      <c r="C25" s="244"/>
    </row>
    <row r="26" spans="1:3" ht="64.5">
      <c r="A26" s="253"/>
      <c r="B26" s="242" t="s">
        <v>97</v>
      </c>
      <c r="C26" s="244"/>
    </row>
    <row r="27" spans="1:3" ht="10.15" customHeight="1">
      <c r="A27" s="253"/>
      <c r="C27" s="244"/>
    </row>
    <row r="28" spans="1:3">
      <c r="A28" s="253"/>
      <c r="B28" s="242" t="s">
        <v>36</v>
      </c>
      <c r="C28" s="244"/>
    </row>
    <row r="29" spans="1:3" ht="10.15" customHeight="1">
      <c r="A29" s="253"/>
      <c r="C29" s="244"/>
    </row>
    <row r="30" spans="1:3">
      <c r="A30" s="253"/>
      <c r="B30" s="242" t="s">
        <v>98</v>
      </c>
      <c r="C30" s="244"/>
    </row>
    <row r="31" spans="1:3" ht="10.15" customHeight="1">
      <c r="A31" s="253"/>
      <c r="C31" s="244"/>
    </row>
    <row r="32" spans="1:3">
      <c r="A32" s="253"/>
      <c r="B32" s="242" t="s">
        <v>99</v>
      </c>
      <c r="C32" s="244"/>
    </row>
    <row r="33" spans="1:3" ht="10.15" customHeight="1">
      <c r="A33" s="253"/>
      <c r="C33" s="244"/>
    </row>
    <row r="34" spans="1:3" ht="26.25">
      <c r="A34" s="253"/>
      <c r="B34" s="242" t="s">
        <v>100</v>
      </c>
      <c r="C34" s="244"/>
    </row>
    <row r="35" spans="1:3" ht="10.15" customHeight="1">
      <c r="A35" s="253"/>
      <c r="C35" s="244"/>
    </row>
    <row r="36" spans="1:3">
      <c r="A36" s="253"/>
      <c r="B36" s="247" t="s">
        <v>37</v>
      </c>
      <c r="C36" s="244"/>
    </row>
    <row r="37" spans="1:3" ht="124.15" customHeight="1">
      <c r="A37" s="253"/>
      <c r="B37" s="242" t="s">
        <v>101</v>
      </c>
      <c r="C37" s="244"/>
    </row>
    <row r="38" spans="1:3">
      <c r="A38" s="253"/>
      <c r="B38" s="250"/>
      <c r="C38" s="244"/>
    </row>
    <row r="39" spans="1:3" ht="42.6" customHeight="1">
      <c r="A39" s="253"/>
      <c r="B39" s="242" t="e" vm="1">
        <v>#VALUE!</v>
      </c>
      <c r="C39" s="244"/>
    </row>
    <row r="40" spans="1:3">
      <c r="A40" s="254"/>
      <c r="B40" s="255"/>
      <c r="C40" s="245"/>
    </row>
    <row r="45" spans="1:3">
      <c r="B45" s="4"/>
    </row>
  </sheetData>
  <sheetProtection algorithmName="SHA-512" hashValue="vatT/t31bFsDVLF2ZwpZea/aNm5oq92YJFnF7pS2b3mhtvEhjjhm+ATekjL3N/QfkkzjIwotYyjBBCpePMIX/g==" saltValue="ekhgM5hrRgIoZl15msx2Gg==" spinCount="100000" sheet="1" objects="1" scenarios="1"/>
  <hyperlinks>
    <hyperlink ref="B8" r:id="rId1" xr:uid="{1731D42A-1393-4F78-8601-0AC5AE9D3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8"/>
  <sheetViews>
    <sheetView tabSelected="1" zoomScale="70" zoomScaleNormal="70" workbookViewId="0">
      <pane ySplit="11" topLeftCell="A12" activePane="bottomLeft" state="frozen"/>
      <selection pane="bottomLeft" activeCell="U33" sqref="U33"/>
    </sheetView>
  </sheetViews>
  <sheetFormatPr defaultColWidth="11" defaultRowHeight="15.75"/>
  <cols>
    <col min="1" max="1" width="3" bestFit="1" customWidth="1"/>
    <col min="2" max="2" width="38.5" bestFit="1" customWidth="1"/>
    <col min="3" max="7" width="14" customWidth="1"/>
    <col min="8" max="8" width="14.875" customWidth="1"/>
    <col min="9" max="14" width="14" customWidth="1"/>
    <col min="15" max="15" width="15.5" customWidth="1"/>
    <col min="16" max="19" width="10.875" customWidth="1"/>
    <col min="20" max="29" width="10.875" style="4" customWidth="1"/>
    <col min="30" max="34" width="10.75" style="4"/>
  </cols>
  <sheetData>
    <row r="1" spans="1:34" ht="16.5" thickBot="1">
      <c r="A1" s="21"/>
      <c r="B1" s="21"/>
      <c r="C1" s="21"/>
      <c r="D1" s="21"/>
      <c r="E1" s="21"/>
      <c r="F1" s="21"/>
      <c r="G1" s="21"/>
      <c r="H1" s="21"/>
      <c r="I1" s="21"/>
      <c r="J1" s="21"/>
      <c r="K1" s="21"/>
      <c r="L1" s="21"/>
      <c r="M1" s="21"/>
      <c r="N1" s="21"/>
      <c r="O1" s="21"/>
      <c r="P1" s="21"/>
      <c r="Q1" s="21"/>
      <c r="R1" s="21"/>
      <c r="S1" s="21"/>
    </row>
    <row r="2" spans="1:34" ht="24.75" customHeight="1">
      <c r="A2" s="21"/>
      <c r="B2" s="22" t="s">
        <v>40</v>
      </c>
      <c r="C2" s="157">
        <v>11</v>
      </c>
      <c r="D2" s="258" t="s">
        <v>25</v>
      </c>
      <c r="E2" s="259"/>
      <c r="F2" s="23" t="s">
        <v>106</v>
      </c>
      <c r="G2" s="23"/>
      <c r="H2" s="23"/>
      <c r="I2" s="24"/>
      <c r="J2" s="24"/>
      <c r="K2" s="24"/>
      <c r="L2" s="24"/>
      <c r="M2" s="24"/>
      <c r="N2" s="24"/>
      <c r="O2" s="21"/>
      <c r="P2" s="21"/>
      <c r="Q2" s="21"/>
      <c r="R2" s="21"/>
      <c r="S2" s="21"/>
      <c r="AC2"/>
      <c r="AD2"/>
      <c r="AE2"/>
      <c r="AF2"/>
      <c r="AG2"/>
      <c r="AH2"/>
    </row>
    <row r="3" spans="1:34" ht="24.75" customHeight="1">
      <c r="A3" s="21"/>
      <c r="B3" s="25" t="s">
        <v>41</v>
      </c>
      <c r="C3" s="158">
        <v>0.9</v>
      </c>
      <c r="D3" s="26" t="s">
        <v>8</v>
      </c>
      <c r="E3" s="21"/>
      <c r="F3" s="27" t="s">
        <v>85</v>
      </c>
      <c r="G3" s="28"/>
      <c r="H3" s="28"/>
      <c r="I3" s="29"/>
      <c r="J3" s="29"/>
      <c r="K3" s="29"/>
      <c r="L3" s="29"/>
      <c r="M3" s="29"/>
      <c r="N3" s="29"/>
      <c r="O3" s="21"/>
      <c r="P3" s="21"/>
      <c r="Q3" s="21"/>
      <c r="R3" s="21"/>
      <c r="S3" s="21"/>
      <c r="AC3"/>
      <c r="AD3"/>
      <c r="AE3"/>
      <c r="AF3"/>
      <c r="AG3"/>
      <c r="AH3"/>
    </row>
    <row r="4" spans="1:34" ht="24.75" customHeight="1">
      <c r="A4" s="21"/>
      <c r="B4" s="25" t="s">
        <v>42</v>
      </c>
      <c r="C4" s="159">
        <v>8</v>
      </c>
      <c r="D4" s="26" t="s">
        <v>8</v>
      </c>
      <c r="E4" s="21"/>
      <c r="F4" s="30" t="s">
        <v>86</v>
      </c>
      <c r="G4" s="30"/>
      <c r="H4" s="30"/>
      <c r="I4" s="30"/>
      <c r="J4" s="30"/>
      <c r="K4" s="30"/>
      <c r="L4" s="30"/>
      <c r="M4" s="30"/>
      <c r="N4" s="30"/>
      <c r="O4" s="21"/>
      <c r="P4" s="21"/>
      <c r="Q4" s="21"/>
      <c r="R4" s="21"/>
      <c r="S4" s="21"/>
      <c r="AC4"/>
      <c r="AD4"/>
      <c r="AE4"/>
      <c r="AF4"/>
      <c r="AG4"/>
      <c r="AH4"/>
    </row>
    <row r="5" spans="1:34" ht="17.25" customHeight="1">
      <c r="A5" s="21"/>
      <c r="B5" s="25" t="s">
        <v>4</v>
      </c>
      <c r="C5" s="160">
        <v>5.0999999999999997E-2</v>
      </c>
      <c r="D5" s="26" t="s">
        <v>8</v>
      </c>
      <c r="E5" s="21"/>
      <c r="F5" s="256"/>
      <c r="G5" s="256"/>
      <c r="H5" s="256"/>
      <c r="I5" s="30"/>
      <c r="J5" s="30"/>
      <c r="K5" s="30"/>
      <c r="L5" s="30"/>
      <c r="M5" s="30"/>
      <c r="N5" s="30"/>
      <c r="O5" s="21"/>
      <c r="P5" s="21"/>
      <c r="Q5" s="21"/>
      <c r="R5" s="21"/>
      <c r="S5" s="21"/>
      <c r="AH5"/>
    </row>
    <row r="6" spans="1:34" ht="17.25" customHeight="1" thickBot="1">
      <c r="A6" s="21"/>
      <c r="B6" s="31" t="s">
        <v>28</v>
      </c>
      <c r="C6" s="161">
        <v>5.0999999999999997E-2</v>
      </c>
      <c r="D6" s="26" t="s">
        <v>8</v>
      </c>
      <c r="E6" s="21"/>
      <c r="F6" s="21"/>
      <c r="G6" s="21"/>
      <c r="H6" s="21"/>
      <c r="I6" s="21"/>
      <c r="J6" s="21"/>
      <c r="K6" s="21"/>
      <c r="L6" s="21"/>
      <c r="M6" s="21"/>
      <c r="N6" s="21"/>
      <c r="O6" s="21"/>
      <c r="P6" s="21"/>
      <c r="Q6" s="21"/>
      <c r="R6" s="21"/>
      <c r="S6" s="21"/>
      <c r="AH6"/>
    </row>
    <row r="7" spans="1:34" ht="17.25" customHeight="1" thickBot="1">
      <c r="A7" s="21"/>
      <c r="B7" s="32" t="s">
        <v>26</v>
      </c>
      <c r="C7" s="162">
        <f>IF(C4&lt;=4,85%,75%)</f>
        <v>0.75</v>
      </c>
      <c r="D7" s="48" t="s">
        <v>84</v>
      </c>
      <c r="E7" s="33"/>
      <c r="F7" s="33"/>
      <c r="G7" s="21"/>
      <c r="H7" s="21"/>
      <c r="I7" s="21"/>
      <c r="J7" s="21"/>
      <c r="K7" s="21"/>
      <c r="L7" s="21"/>
      <c r="M7" s="21"/>
      <c r="N7" s="21"/>
      <c r="O7" s="21"/>
      <c r="P7" s="21"/>
      <c r="Q7" s="21"/>
      <c r="R7" s="21"/>
      <c r="S7" s="21"/>
      <c r="AG7"/>
      <c r="AH7"/>
    </row>
    <row r="8" spans="1:34" ht="17.25" customHeight="1" thickBot="1">
      <c r="A8" s="21"/>
      <c r="B8" s="34" t="s">
        <v>27</v>
      </c>
      <c r="C8" s="163"/>
      <c r="D8" s="35" t="s">
        <v>24</v>
      </c>
      <c r="E8" s="33"/>
      <c r="F8" s="33"/>
      <c r="G8" s="21"/>
      <c r="H8" s="21"/>
      <c r="I8" s="21"/>
      <c r="J8" s="21"/>
      <c r="K8" s="21"/>
      <c r="L8" s="21"/>
      <c r="M8" s="21"/>
      <c r="N8" s="21"/>
      <c r="O8" s="21"/>
      <c r="P8" s="21"/>
      <c r="Q8" s="21"/>
      <c r="R8" s="21"/>
      <c r="S8" s="21"/>
      <c r="AG8"/>
      <c r="AH8"/>
    </row>
    <row r="9" spans="1:34" ht="16.5" thickBot="1">
      <c r="A9" s="21"/>
      <c r="B9" s="21"/>
      <c r="C9" s="21"/>
      <c r="D9" s="21"/>
      <c r="E9" s="21"/>
      <c r="F9" s="21"/>
      <c r="G9" s="21"/>
      <c r="H9" s="21"/>
      <c r="I9" s="21"/>
      <c r="J9" s="21"/>
      <c r="K9" s="21"/>
      <c r="L9" s="21"/>
      <c r="M9" s="21"/>
      <c r="N9" s="21"/>
      <c r="O9" s="21"/>
      <c r="P9" s="21"/>
      <c r="Q9" s="21"/>
      <c r="R9" s="21"/>
      <c r="S9" s="21"/>
    </row>
    <row r="10" spans="1:34" ht="39" customHeight="1" thickBot="1">
      <c r="A10" s="21"/>
      <c r="B10" s="36" t="s">
        <v>0</v>
      </c>
      <c r="C10" s="164" t="s">
        <v>38</v>
      </c>
      <c r="D10" s="165" t="s">
        <v>47</v>
      </c>
      <c r="E10" s="164" t="s">
        <v>21</v>
      </c>
      <c r="F10" s="166" t="s">
        <v>44</v>
      </c>
      <c r="G10" s="167" t="s">
        <v>22</v>
      </c>
      <c r="H10" s="168" t="s">
        <v>43</v>
      </c>
      <c r="I10" s="169" t="s">
        <v>46</v>
      </c>
      <c r="J10" s="170" t="s">
        <v>45</v>
      </c>
      <c r="K10" s="167" t="s">
        <v>20</v>
      </c>
      <c r="L10" s="171" t="s">
        <v>39</v>
      </c>
      <c r="M10" s="172" t="s">
        <v>82</v>
      </c>
      <c r="N10" s="173" t="s">
        <v>83</v>
      </c>
      <c r="O10" s="37" t="s">
        <v>8</v>
      </c>
      <c r="P10" s="21"/>
      <c r="Q10" s="21"/>
      <c r="R10" s="21"/>
      <c r="S10" s="21"/>
      <c r="AD10"/>
      <c r="AE10"/>
      <c r="AF10"/>
      <c r="AG10"/>
      <c r="AH10"/>
    </row>
    <row r="11" spans="1:34" ht="37.15" customHeight="1" thickBot="1">
      <c r="A11" s="21"/>
      <c r="B11" s="38" t="s">
        <v>1</v>
      </c>
      <c r="C11" s="174" t="s">
        <v>29</v>
      </c>
      <c r="D11" s="175" t="s">
        <v>30</v>
      </c>
      <c r="E11" s="176" t="s">
        <v>14</v>
      </c>
      <c r="F11" s="177" t="s">
        <v>17</v>
      </c>
      <c r="G11" s="178" t="s">
        <v>13</v>
      </c>
      <c r="H11" s="179" t="s">
        <v>16</v>
      </c>
      <c r="I11" s="180" t="s">
        <v>18</v>
      </c>
      <c r="J11" s="181" t="s">
        <v>19</v>
      </c>
      <c r="K11" s="178" t="s">
        <v>15</v>
      </c>
      <c r="L11" s="182" t="s">
        <v>31</v>
      </c>
      <c r="M11" s="183" t="s">
        <v>1</v>
      </c>
      <c r="N11" s="184" t="s">
        <v>1</v>
      </c>
      <c r="O11" s="37" t="s">
        <v>9</v>
      </c>
      <c r="P11" s="21"/>
      <c r="Q11" s="21"/>
      <c r="R11" s="21"/>
      <c r="S11" s="21"/>
      <c r="AD11"/>
      <c r="AE11"/>
      <c r="AF11"/>
      <c r="AG11"/>
      <c r="AH11"/>
    </row>
    <row r="12" spans="1:34" ht="16.5" thickBot="1">
      <c r="A12" s="21"/>
      <c r="B12" s="39" t="s">
        <v>5</v>
      </c>
      <c r="C12" s="185">
        <v>0</v>
      </c>
      <c r="D12" s="186">
        <v>16</v>
      </c>
      <c r="E12" s="185">
        <v>0</v>
      </c>
      <c r="F12" s="187">
        <v>72</v>
      </c>
      <c r="G12" s="185">
        <v>0</v>
      </c>
      <c r="H12" s="188">
        <v>51.5</v>
      </c>
      <c r="I12" s="185">
        <v>0</v>
      </c>
      <c r="J12" s="187">
        <v>300</v>
      </c>
      <c r="K12" s="189">
        <v>0</v>
      </c>
      <c r="L12" s="190">
        <v>0</v>
      </c>
      <c r="M12" s="191">
        <v>0</v>
      </c>
      <c r="N12" s="192">
        <v>0</v>
      </c>
      <c r="O12" s="26" t="s">
        <v>9</v>
      </c>
      <c r="P12" s="21"/>
      <c r="Q12" s="21"/>
      <c r="R12" s="21"/>
      <c r="S12" s="21"/>
      <c r="AD12"/>
      <c r="AE12"/>
      <c r="AF12"/>
      <c r="AG12"/>
      <c r="AH12"/>
    </row>
    <row r="13" spans="1:34" ht="16.5" thickBot="1">
      <c r="A13" s="21"/>
      <c r="B13" s="40"/>
      <c r="C13" s="21"/>
      <c r="D13" s="41"/>
      <c r="E13" s="21"/>
      <c r="F13" s="21"/>
      <c r="G13" s="42"/>
      <c r="H13" s="41"/>
      <c r="I13" s="21"/>
      <c r="J13" s="21"/>
      <c r="K13" s="42"/>
      <c r="L13" s="41"/>
      <c r="M13" s="42"/>
      <c r="N13" s="41"/>
      <c r="O13" s="26"/>
      <c r="P13" s="21"/>
      <c r="Q13" s="21"/>
      <c r="R13" s="21"/>
      <c r="S13" s="21"/>
      <c r="AD13"/>
      <c r="AE13"/>
      <c r="AF13"/>
      <c r="AG13"/>
      <c r="AH13"/>
    </row>
    <row r="14" spans="1:34" ht="16.5" thickBot="1">
      <c r="A14" s="21"/>
      <c r="B14" s="32" t="s">
        <v>48</v>
      </c>
      <c r="C14" s="43">
        <f>IF($C$8=1,C15*1.2,C15)</f>
        <v>2</v>
      </c>
      <c r="D14" s="44">
        <f t="shared" ref="D14:N14" si="0">IF($C$8=1,D15*1.2,D15)</f>
        <v>12</v>
      </c>
      <c r="E14" s="43">
        <f t="shared" si="0"/>
        <v>7</v>
      </c>
      <c r="F14" s="44">
        <f t="shared" si="0"/>
        <v>24</v>
      </c>
      <c r="G14" s="43">
        <f t="shared" si="0"/>
        <v>12</v>
      </c>
      <c r="H14" s="44">
        <f t="shared" si="0"/>
        <v>44</v>
      </c>
      <c r="I14" s="43">
        <f t="shared" si="0"/>
        <v>15</v>
      </c>
      <c r="J14" s="44">
        <f t="shared" si="0"/>
        <v>48</v>
      </c>
      <c r="K14" s="45">
        <f t="shared" si="0"/>
        <v>22</v>
      </c>
      <c r="L14" s="44">
        <f t="shared" si="0"/>
        <v>84</v>
      </c>
      <c r="M14" s="46">
        <f t="shared" si="0"/>
        <v>0</v>
      </c>
      <c r="N14" s="47">
        <f t="shared" si="0"/>
        <v>0</v>
      </c>
      <c r="O14" s="48" t="s">
        <v>84</v>
      </c>
      <c r="P14" s="21"/>
      <c r="Q14" s="21"/>
      <c r="R14" s="21"/>
      <c r="S14" s="21"/>
      <c r="AD14"/>
      <c r="AE14"/>
      <c r="AF14"/>
      <c r="AG14"/>
      <c r="AH14"/>
    </row>
    <row r="15" spans="1:34" ht="17.25" customHeight="1" thickBot="1">
      <c r="A15" s="21"/>
      <c r="B15" s="49" t="s">
        <v>87</v>
      </c>
      <c r="C15" s="193">
        <v>2</v>
      </c>
      <c r="D15" s="194">
        <v>12</v>
      </c>
      <c r="E15" s="193">
        <v>7</v>
      </c>
      <c r="F15" s="194">
        <v>24</v>
      </c>
      <c r="G15" s="193">
        <v>12</v>
      </c>
      <c r="H15" s="194">
        <v>44</v>
      </c>
      <c r="I15" s="193">
        <v>15</v>
      </c>
      <c r="J15" s="194">
        <v>48</v>
      </c>
      <c r="K15" s="195">
        <v>22</v>
      </c>
      <c r="L15" s="194">
        <v>84</v>
      </c>
      <c r="M15" s="196">
        <v>0</v>
      </c>
      <c r="N15" s="192">
        <v>0</v>
      </c>
      <c r="O15" s="26" t="s">
        <v>9</v>
      </c>
      <c r="P15" s="21"/>
      <c r="Q15" s="21"/>
      <c r="R15" s="21"/>
      <c r="S15" s="21"/>
      <c r="AD15"/>
      <c r="AE15"/>
      <c r="AF15"/>
      <c r="AG15"/>
      <c r="AH15"/>
    </row>
    <row r="16" spans="1:34">
      <c r="A16" s="21"/>
      <c r="B16" s="50" t="s">
        <v>3</v>
      </c>
      <c r="C16" s="51">
        <f>'Restværdi beregning'!C2</f>
        <v>261750</v>
      </c>
      <c r="D16" s="52">
        <f>'Restværdi beregning'!C3</f>
        <v>486750</v>
      </c>
      <c r="E16" s="53">
        <f>'Restværdi beregning'!C4</f>
        <v>811000</v>
      </c>
      <c r="F16" s="54">
        <f>'Restværdi beregning'!C5</f>
        <v>1875000</v>
      </c>
      <c r="G16" s="55">
        <f>'Restværdi beregning'!C6</f>
        <v>1500000</v>
      </c>
      <c r="H16" s="56">
        <f>'Restværdi beregning'!C7</f>
        <v>4331250</v>
      </c>
      <c r="I16" s="57">
        <f>'Restværdi beregning'!C8</f>
        <v>2800000</v>
      </c>
      <c r="J16" s="58">
        <f>'Restværdi beregning'!C9</f>
        <v>5527500</v>
      </c>
      <c r="K16" s="59">
        <f>'Restværdi beregning'!C10</f>
        <v>3000000</v>
      </c>
      <c r="L16" s="60">
        <f>'Restværdi beregning'!C11</f>
        <v>4961250</v>
      </c>
      <c r="M16" s="61">
        <f>'Restværdi beregning'!C12</f>
        <v>0</v>
      </c>
      <c r="N16" s="62">
        <f>'Restværdi beregning'!C13</f>
        <v>0</v>
      </c>
      <c r="O16" s="48" t="s">
        <v>84</v>
      </c>
      <c r="P16" s="21"/>
      <c r="Q16" s="21"/>
      <c r="R16" s="21"/>
      <c r="S16" s="21"/>
      <c r="V16" s="5"/>
      <c r="AD16"/>
      <c r="AE16"/>
      <c r="AF16"/>
      <c r="AG16"/>
      <c r="AH16"/>
    </row>
    <row r="17" spans="1:34" ht="17.25" customHeight="1" thickBot="1">
      <c r="A17" s="21"/>
      <c r="B17" s="63" t="s">
        <v>2</v>
      </c>
      <c r="C17" s="197">
        <v>209400</v>
      </c>
      <c r="D17" s="198">
        <v>389400</v>
      </c>
      <c r="E17" s="199">
        <v>648800</v>
      </c>
      <c r="F17" s="200">
        <v>1500000</v>
      </c>
      <c r="G17" s="201">
        <v>1200000</v>
      </c>
      <c r="H17" s="202">
        <v>3465000</v>
      </c>
      <c r="I17" s="203">
        <v>2240000</v>
      </c>
      <c r="J17" s="204">
        <v>4422000</v>
      </c>
      <c r="K17" s="205">
        <v>2400000</v>
      </c>
      <c r="L17" s="206">
        <v>3969000</v>
      </c>
      <c r="M17" s="207">
        <v>0</v>
      </c>
      <c r="N17" s="208">
        <v>0</v>
      </c>
      <c r="O17" s="26" t="s">
        <v>9</v>
      </c>
      <c r="P17" s="21"/>
      <c r="Q17" s="21"/>
      <c r="R17" s="21"/>
      <c r="S17" s="21"/>
      <c r="V17" s="5"/>
      <c r="AD17"/>
      <c r="AE17"/>
      <c r="AF17"/>
      <c r="AG17"/>
      <c r="AH17"/>
    </row>
    <row r="18" spans="1:34" ht="16.5" thickBot="1">
      <c r="A18" s="21"/>
      <c r="B18" s="40"/>
      <c r="C18" s="209"/>
      <c r="D18" s="210"/>
      <c r="E18" s="211"/>
      <c r="F18" s="211"/>
      <c r="G18" s="212"/>
      <c r="H18" s="210"/>
      <c r="I18" s="211"/>
      <c r="J18" s="211"/>
      <c r="K18" s="212"/>
      <c r="L18" s="210"/>
      <c r="M18" s="213"/>
      <c r="N18" s="214"/>
      <c r="O18" s="26"/>
      <c r="P18" s="21"/>
      <c r="Q18" s="21"/>
      <c r="R18" s="21"/>
      <c r="S18" s="21"/>
      <c r="V18" s="5"/>
      <c r="AD18"/>
      <c r="AE18"/>
      <c r="AF18"/>
      <c r="AG18"/>
      <c r="AH18"/>
    </row>
    <row r="19" spans="1:34">
      <c r="A19" s="21"/>
      <c r="B19" s="50" t="s">
        <v>6</v>
      </c>
      <c r="C19" s="215">
        <v>0</v>
      </c>
      <c r="D19" s="216">
        <v>0</v>
      </c>
      <c r="E19" s="217">
        <v>0</v>
      </c>
      <c r="F19" s="218">
        <v>0</v>
      </c>
      <c r="G19" s="215">
        <v>0</v>
      </c>
      <c r="H19" s="216">
        <v>0</v>
      </c>
      <c r="I19" s="217">
        <v>0</v>
      </c>
      <c r="J19" s="218">
        <v>0</v>
      </c>
      <c r="K19" s="215">
        <v>0</v>
      </c>
      <c r="L19" s="216">
        <v>0</v>
      </c>
      <c r="M19" s="219">
        <v>0</v>
      </c>
      <c r="N19" s="220">
        <v>0</v>
      </c>
      <c r="O19" s="26" t="s">
        <v>9</v>
      </c>
      <c r="P19" s="21"/>
      <c r="Q19" s="21"/>
      <c r="R19" s="21"/>
      <c r="S19" s="21"/>
      <c r="AD19"/>
      <c r="AE19"/>
      <c r="AF19"/>
      <c r="AG19"/>
      <c r="AH19"/>
    </row>
    <row r="20" spans="1:34" ht="16.5" thickBot="1">
      <c r="A20" s="21"/>
      <c r="B20" s="63" t="s">
        <v>7</v>
      </c>
      <c r="C20" s="221">
        <v>0</v>
      </c>
      <c r="D20" s="222">
        <v>0</v>
      </c>
      <c r="E20" s="223">
        <v>0</v>
      </c>
      <c r="F20" s="224">
        <v>0</v>
      </c>
      <c r="G20" s="221">
        <v>0</v>
      </c>
      <c r="H20" s="222">
        <v>0</v>
      </c>
      <c r="I20" s="223">
        <v>0</v>
      </c>
      <c r="J20" s="224">
        <v>0</v>
      </c>
      <c r="K20" s="221">
        <v>0</v>
      </c>
      <c r="L20" s="222">
        <v>0</v>
      </c>
      <c r="M20" s="225">
        <v>0</v>
      </c>
      <c r="N20" s="208">
        <v>0</v>
      </c>
      <c r="O20" s="26" t="s">
        <v>9</v>
      </c>
      <c r="P20" s="21"/>
      <c r="Q20" s="21"/>
      <c r="R20" s="21"/>
      <c r="S20" s="21"/>
      <c r="AD20"/>
      <c r="AE20"/>
      <c r="AF20"/>
      <c r="AG20"/>
      <c r="AH20"/>
    </row>
    <row r="21" spans="1:34" ht="16.5" thickBot="1">
      <c r="A21" s="21"/>
      <c r="B21" s="40"/>
      <c r="C21" s="21"/>
      <c r="D21" s="41"/>
      <c r="E21" s="21"/>
      <c r="F21" s="21"/>
      <c r="G21" s="65"/>
      <c r="H21" s="41"/>
      <c r="I21" s="21"/>
      <c r="J21" s="21"/>
      <c r="K21" s="65"/>
      <c r="L21" s="64"/>
      <c r="M21" s="42"/>
      <c r="N21" s="41"/>
      <c r="O21" s="26"/>
      <c r="P21" s="66"/>
      <c r="Q21" s="66"/>
      <c r="R21" s="21"/>
      <c r="S21" s="66"/>
      <c r="T21" s="5"/>
      <c r="U21" s="5"/>
      <c r="V21" s="5"/>
      <c r="AD21"/>
      <c r="AE21"/>
      <c r="AF21"/>
      <c r="AG21"/>
      <c r="AH21"/>
    </row>
    <row r="22" spans="1:34">
      <c r="A22" s="21"/>
      <c r="B22" s="50" t="s">
        <v>10</v>
      </c>
      <c r="C22" s="67">
        <f>C17+C19+C20</f>
        <v>209400</v>
      </c>
      <c r="D22" s="68">
        <f t="shared" ref="D22:H22" si="1">D17+D19+D20</f>
        <v>389400</v>
      </c>
      <c r="E22" s="69">
        <f t="shared" si="1"/>
        <v>648800</v>
      </c>
      <c r="F22" s="70">
        <f t="shared" si="1"/>
        <v>1500000</v>
      </c>
      <c r="G22" s="71">
        <f t="shared" si="1"/>
        <v>1200000</v>
      </c>
      <c r="H22" s="72">
        <f t="shared" si="1"/>
        <v>3465000</v>
      </c>
      <c r="I22" s="73">
        <f t="shared" ref="I22" si="2">I17+I19+I20</f>
        <v>2240000</v>
      </c>
      <c r="J22" s="74">
        <f>J17+J19+J20</f>
        <v>4422000</v>
      </c>
      <c r="K22" s="71">
        <f>K17+K19+K20</f>
        <v>2400000</v>
      </c>
      <c r="L22" s="75">
        <f>L17+L19+L20</f>
        <v>3969000</v>
      </c>
      <c r="M22" s="61">
        <f>M17+M19+M20</f>
        <v>0</v>
      </c>
      <c r="N22" s="62">
        <f>N17+N19+N20</f>
        <v>0</v>
      </c>
      <c r="O22" s="48" t="s">
        <v>84</v>
      </c>
      <c r="P22" s="76"/>
      <c r="Q22" s="76"/>
      <c r="R22" s="21"/>
      <c r="S22" s="66"/>
      <c r="T22" s="5"/>
      <c r="U22" s="5"/>
      <c r="V22" s="5"/>
      <c r="AD22"/>
      <c r="AE22"/>
      <c r="AF22"/>
      <c r="AG22"/>
      <c r="AH22"/>
    </row>
    <row r="23" spans="1:34">
      <c r="A23" s="21"/>
      <c r="B23" s="25" t="s">
        <v>88</v>
      </c>
      <c r="C23" s="77">
        <f>'Restværdi beregning'!O2</f>
        <v>3696</v>
      </c>
      <c r="D23" s="78">
        <f>'Restværdi beregning'!O3</f>
        <v>1814.4</v>
      </c>
      <c r="E23" s="79">
        <f>'Restværdi beregning'!O4</f>
        <v>12936</v>
      </c>
      <c r="F23" s="80">
        <f>'Restværdi beregning'!O5</f>
        <v>3628.8</v>
      </c>
      <c r="G23" s="81">
        <f>'Restværdi beregning'!O6</f>
        <v>22176</v>
      </c>
      <c r="H23" s="82">
        <f>'Restværdi beregning'!O7</f>
        <v>6652.8</v>
      </c>
      <c r="I23" s="83">
        <f>'Restværdi beregning'!O8</f>
        <v>27720</v>
      </c>
      <c r="J23" s="80">
        <f>'Restværdi beregning'!O9</f>
        <v>7257.6</v>
      </c>
      <c r="K23" s="81">
        <f>'Restværdi beregning'!O10</f>
        <v>40656</v>
      </c>
      <c r="L23" s="82">
        <f>'Restværdi beregning'!O11</f>
        <v>12700.800000000001</v>
      </c>
      <c r="M23" s="84">
        <f>'Restværdi beregning'!O12</f>
        <v>0</v>
      </c>
      <c r="N23" s="85">
        <f>'Restværdi beregning'!O13</f>
        <v>0</v>
      </c>
      <c r="O23" s="48" t="s">
        <v>84</v>
      </c>
      <c r="P23" s="257"/>
      <c r="Q23" s="257"/>
      <c r="R23" s="21"/>
      <c r="S23" s="66"/>
      <c r="T23" s="5"/>
      <c r="U23" s="5"/>
      <c r="V23" s="5"/>
      <c r="AD23"/>
      <c r="AE23"/>
      <c r="AF23"/>
      <c r="AG23"/>
      <c r="AH23"/>
    </row>
    <row r="24" spans="1:34">
      <c r="A24" s="21"/>
      <c r="B24" s="25"/>
      <c r="C24" s="86"/>
      <c r="D24" s="87"/>
      <c r="E24" s="88"/>
      <c r="F24" s="89"/>
      <c r="G24" s="90"/>
      <c r="H24" s="91"/>
      <c r="I24" s="20"/>
      <c r="J24" s="92"/>
      <c r="K24" s="90"/>
      <c r="L24" s="93"/>
      <c r="M24" s="94"/>
      <c r="N24" s="95"/>
      <c r="O24" s="96"/>
      <c r="P24" s="96"/>
      <c r="Q24" s="96"/>
      <c r="R24" s="21"/>
      <c r="S24" s="66"/>
      <c r="T24" s="5"/>
      <c r="U24" s="5"/>
      <c r="V24" s="5"/>
      <c r="AD24"/>
      <c r="AE24"/>
      <c r="AF24"/>
      <c r="AG24"/>
      <c r="AH24"/>
    </row>
    <row r="25" spans="1:34">
      <c r="A25" s="21"/>
      <c r="B25" s="25" t="s">
        <v>58</v>
      </c>
      <c r="C25" s="227">
        <v>833</v>
      </c>
      <c r="D25" s="228">
        <v>0</v>
      </c>
      <c r="E25" s="229">
        <v>1150</v>
      </c>
      <c r="F25" s="228">
        <v>0</v>
      </c>
      <c r="G25" s="230">
        <v>1562</v>
      </c>
      <c r="H25" s="228">
        <v>0</v>
      </c>
      <c r="I25" s="231">
        <v>1875</v>
      </c>
      <c r="J25" s="228">
        <v>0</v>
      </c>
      <c r="K25" s="230">
        <v>2500</v>
      </c>
      <c r="L25" s="228">
        <v>0</v>
      </c>
      <c r="M25" s="232">
        <v>0</v>
      </c>
      <c r="N25" s="233">
        <v>0</v>
      </c>
      <c r="O25" s="26" t="s">
        <v>9</v>
      </c>
      <c r="P25" s="96"/>
      <c r="Q25" s="96"/>
      <c r="R25" s="21"/>
      <c r="S25" s="66"/>
      <c r="T25" s="5"/>
      <c r="U25" s="5"/>
      <c r="V25" s="5"/>
      <c r="AD25"/>
      <c r="AE25"/>
      <c r="AF25"/>
      <c r="AG25"/>
      <c r="AH25"/>
    </row>
    <row r="26" spans="1:34">
      <c r="A26" s="21"/>
      <c r="B26" s="25" t="s">
        <v>59</v>
      </c>
      <c r="C26" s="227">
        <v>833</v>
      </c>
      <c r="D26" s="228">
        <v>0</v>
      </c>
      <c r="E26" s="229">
        <v>1150</v>
      </c>
      <c r="F26" s="228">
        <v>0</v>
      </c>
      <c r="G26" s="230">
        <v>1562</v>
      </c>
      <c r="H26" s="228">
        <v>0</v>
      </c>
      <c r="I26" s="231">
        <v>1875</v>
      </c>
      <c r="J26" s="228">
        <v>0</v>
      </c>
      <c r="K26" s="230">
        <v>2500</v>
      </c>
      <c r="L26" s="228">
        <v>0</v>
      </c>
      <c r="M26" s="232">
        <v>0</v>
      </c>
      <c r="N26" s="233">
        <v>0</v>
      </c>
      <c r="O26" s="26" t="s">
        <v>9</v>
      </c>
      <c r="P26" s="96"/>
      <c r="Q26" s="96"/>
      <c r="R26" s="21"/>
      <c r="S26" s="66"/>
      <c r="T26" s="5"/>
      <c r="U26" s="5"/>
      <c r="V26" s="5"/>
      <c r="AD26"/>
      <c r="AE26"/>
      <c r="AF26"/>
      <c r="AG26"/>
      <c r="AH26"/>
    </row>
    <row r="27" spans="1:34">
      <c r="A27" s="21"/>
      <c r="B27" s="25" t="s">
        <v>60</v>
      </c>
      <c r="C27" s="227">
        <v>833</v>
      </c>
      <c r="D27" s="228">
        <v>0</v>
      </c>
      <c r="E27" s="229">
        <v>1150</v>
      </c>
      <c r="F27" s="228">
        <v>0</v>
      </c>
      <c r="G27" s="230">
        <v>1562</v>
      </c>
      <c r="H27" s="228">
        <v>0</v>
      </c>
      <c r="I27" s="231">
        <v>1875</v>
      </c>
      <c r="J27" s="228">
        <v>0</v>
      </c>
      <c r="K27" s="230">
        <v>2500</v>
      </c>
      <c r="L27" s="228">
        <v>0</v>
      </c>
      <c r="M27" s="232">
        <v>0</v>
      </c>
      <c r="N27" s="233">
        <v>0</v>
      </c>
      <c r="O27" s="26" t="s">
        <v>9</v>
      </c>
      <c r="P27" s="96"/>
      <c r="Q27" s="96"/>
      <c r="R27" s="21"/>
      <c r="S27" s="66"/>
      <c r="T27" s="5"/>
      <c r="U27" s="5"/>
      <c r="V27" s="5"/>
      <c r="AD27"/>
      <c r="AE27"/>
      <c r="AF27"/>
      <c r="AG27"/>
      <c r="AH27"/>
    </row>
    <row r="28" spans="1:34">
      <c r="A28" s="21"/>
      <c r="B28" s="25" t="s">
        <v>61</v>
      </c>
      <c r="C28" s="227">
        <v>833</v>
      </c>
      <c r="D28" s="228">
        <v>0</v>
      </c>
      <c r="E28" s="229">
        <v>1150</v>
      </c>
      <c r="F28" s="228">
        <v>0</v>
      </c>
      <c r="G28" s="230">
        <v>1562</v>
      </c>
      <c r="H28" s="228">
        <v>0</v>
      </c>
      <c r="I28" s="231">
        <v>1875</v>
      </c>
      <c r="J28" s="228">
        <v>0</v>
      </c>
      <c r="K28" s="230">
        <v>2500</v>
      </c>
      <c r="L28" s="228">
        <v>0</v>
      </c>
      <c r="M28" s="232">
        <v>0</v>
      </c>
      <c r="N28" s="233">
        <v>0</v>
      </c>
      <c r="O28" s="26" t="s">
        <v>9</v>
      </c>
      <c r="P28" s="96"/>
      <c r="Q28" s="96"/>
      <c r="R28" s="21"/>
      <c r="S28" s="66"/>
      <c r="T28" s="5"/>
      <c r="U28" s="5"/>
      <c r="V28" s="5"/>
      <c r="AD28"/>
      <c r="AE28"/>
      <c r="AF28"/>
      <c r="AG28"/>
      <c r="AH28"/>
    </row>
    <row r="29" spans="1:34">
      <c r="A29" s="21"/>
      <c r="B29" s="25" t="s">
        <v>62</v>
      </c>
      <c r="C29" s="227">
        <v>833</v>
      </c>
      <c r="D29" s="228">
        <v>0</v>
      </c>
      <c r="E29" s="229">
        <v>1150</v>
      </c>
      <c r="F29" s="228">
        <v>0</v>
      </c>
      <c r="G29" s="230">
        <v>1562</v>
      </c>
      <c r="H29" s="228">
        <v>0</v>
      </c>
      <c r="I29" s="231">
        <v>1875</v>
      </c>
      <c r="J29" s="228">
        <v>0</v>
      </c>
      <c r="K29" s="230">
        <v>2500</v>
      </c>
      <c r="L29" s="228">
        <v>0</v>
      </c>
      <c r="M29" s="232">
        <v>0</v>
      </c>
      <c r="N29" s="233">
        <v>0</v>
      </c>
      <c r="O29" s="26" t="s">
        <v>9</v>
      </c>
      <c r="P29" s="96"/>
      <c r="Q29" s="96"/>
      <c r="R29" s="21"/>
      <c r="S29" s="66"/>
      <c r="T29" s="5"/>
      <c r="U29" s="5"/>
      <c r="V29" s="5"/>
      <c r="AD29"/>
      <c r="AE29"/>
      <c r="AF29"/>
      <c r="AG29"/>
      <c r="AH29"/>
    </row>
    <row r="30" spans="1:34">
      <c r="A30" s="21"/>
      <c r="B30" s="25" t="s">
        <v>63</v>
      </c>
      <c r="C30" s="227">
        <f>C29*2</f>
        <v>1666</v>
      </c>
      <c r="D30" s="228">
        <v>0</v>
      </c>
      <c r="E30" s="229">
        <f>E29*1.5</f>
        <v>1725</v>
      </c>
      <c r="F30" s="228">
        <v>0</v>
      </c>
      <c r="G30" s="230">
        <f>G29*1.5</f>
        <v>2343</v>
      </c>
      <c r="H30" s="228">
        <v>0</v>
      </c>
      <c r="I30" s="231">
        <f>I29*1.5</f>
        <v>2812.5</v>
      </c>
      <c r="J30" s="228">
        <v>0</v>
      </c>
      <c r="K30" s="230">
        <f>K29*1.5</f>
        <v>3750</v>
      </c>
      <c r="L30" s="228">
        <v>0</v>
      </c>
      <c r="M30" s="232">
        <v>0</v>
      </c>
      <c r="N30" s="233">
        <v>0</v>
      </c>
      <c r="O30" s="26" t="s">
        <v>9</v>
      </c>
      <c r="P30" s="96"/>
      <c r="Q30" s="96"/>
      <c r="R30" s="21"/>
      <c r="S30" s="66"/>
      <c r="T30" s="5"/>
      <c r="U30" s="5"/>
      <c r="V30" s="5"/>
      <c r="AD30"/>
      <c r="AE30"/>
      <c r="AF30"/>
      <c r="AG30"/>
      <c r="AH30"/>
    </row>
    <row r="31" spans="1:34" ht="16.5" thickBot="1">
      <c r="A31" s="21"/>
      <c r="B31" s="63" t="s">
        <v>64</v>
      </c>
      <c r="C31" s="234">
        <f>C30*2</f>
        <v>3332</v>
      </c>
      <c r="D31" s="235">
        <v>0</v>
      </c>
      <c r="E31" s="236">
        <f>E30*2</f>
        <v>3450</v>
      </c>
      <c r="F31" s="235">
        <v>0</v>
      </c>
      <c r="G31" s="237">
        <f>G30*2</f>
        <v>4686</v>
      </c>
      <c r="H31" s="235">
        <v>0</v>
      </c>
      <c r="I31" s="238">
        <f>I29*2</f>
        <v>3750</v>
      </c>
      <c r="J31" s="235">
        <v>0</v>
      </c>
      <c r="K31" s="237">
        <f>K30*2</f>
        <v>7500</v>
      </c>
      <c r="L31" s="235">
        <v>0</v>
      </c>
      <c r="M31" s="225">
        <v>0</v>
      </c>
      <c r="N31" s="239">
        <v>0</v>
      </c>
      <c r="O31" s="26" t="s">
        <v>9</v>
      </c>
      <c r="P31" s="96"/>
      <c r="Q31" s="96"/>
      <c r="R31" s="21"/>
      <c r="S31" s="66"/>
      <c r="T31" s="5"/>
      <c r="U31" s="5"/>
      <c r="V31" s="5"/>
      <c r="AD31"/>
      <c r="AE31"/>
      <c r="AF31"/>
      <c r="AG31"/>
      <c r="AH31"/>
    </row>
    <row r="32" spans="1:34" ht="16.5" thickBot="1">
      <c r="A32" s="21"/>
      <c r="B32" s="40"/>
      <c r="C32" s="21"/>
      <c r="D32" s="41"/>
      <c r="E32" s="21"/>
      <c r="F32" s="21"/>
      <c r="G32" s="42"/>
      <c r="H32" s="41"/>
      <c r="I32" s="21"/>
      <c r="J32" s="21"/>
      <c r="K32" s="42"/>
      <c r="L32" s="41"/>
      <c r="M32" s="42"/>
      <c r="N32" s="41"/>
      <c r="O32" s="26"/>
      <c r="P32" s="101"/>
      <c r="Q32" s="101"/>
      <c r="R32" s="21"/>
      <c r="S32" s="66"/>
      <c r="T32" s="5"/>
      <c r="U32" s="5"/>
      <c r="V32" s="5"/>
      <c r="AD32"/>
      <c r="AE32"/>
      <c r="AF32"/>
      <c r="AG32"/>
      <c r="AH32"/>
    </row>
    <row r="33" spans="1:34" ht="35.25" thickBot="1">
      <c r="A33" s="21"/>
      <c r="B33" s="102" t="s">
        <v>49</v>
      </c>
      <c r="C33" s="103">
        <f>((((C14*2.7)*$C$4)*21)*12)/1000</f>
        <v>10.886400000000002</v>
      </c>
      <c r="D33" s="104">
        <v>0</v>
      </c>
      <c r="E33" s="103">
        <f>((((E14*2.7)*$C$4)*21)*12)/1000</f>
        <v>38.102400000000003</v>
      </c>
      <c r="F33" s="104">
        <v>0</v>
      </c>
      <c r="G33" s="103">
        <f>((((G14*2.7)*$C$4)*21)*12)/1000</f>
        <v>65.318400000000011</v>
      </c>
      <c r="H33" s="104">
        <v>0</v>
      </c>
      <c r="I33" s="103">
        <f>((((I14*2.7)*$C$4)*21)*12)/1000</f>
        <v>81.647999999999996</v>
      </c>
      <c r="J33" s="104">
        <v>0</v>
      </c>
      <c r="K33" s="103">
        <f>((((K14*2.7)*$C$4)*21)*12)/1000</f>
        <v>119.75040000000001</v>
      </c>
      <c r="L33" s="104">
        <v>0</v>
      </c>
      <c r="M33" s="105">
        <f>((((M14*2.7)*$C$4)*21)*12)/1000</f>
        <v>0</v>
      </c>
      <c r="N33" s="104">
        <v>0</v>
      </c>
      <c r="O33" s="106" t="s">
        <v>84</v>
      </c>
      <c r="P33" s="101"/>
      <c r="Q33" s="101"/>
      <c r="R33" s="21"/>
      <c r="S33" s="66"/>
      <c r="T33" s="5"/>
      <c r="U33" s="5"/>
      <c r="V33" s="5"/>
      <c r="AD33"/>
      <c r="AE33"/>
      <c r="AF33"/>
      <c r="AG33"/>
      <c r="AH33"/>
    </row>
    <row r="34" spans="1:34" ht="16.5" thickBot="1">
      <c r="A34" s="107"/>
      <c r="B34" s="108"/>
      <c r="C34" s="21"/>
      <c r="D34" s="41"/>
      <c r="E34" s="21"/>
      <c r="F34" s="21"/>
      <c r="G34" s="42"/>
      <c r="H34" s="41"/>
      <c r="I34" s="42"/>
      <c r="J34" s="41"/>
      <c r="K34" s="42"/>
      <c r="L34" s="41"/>
      <c r="M34" s="42"/>
      <c r="N34" s="41"/>
      <c r="O34" s="26"/>
      <c r="P34" s="76"/>
      <c r="Q34" s="76"/>
      <c r="R34" s="21"/>
      <c r="S34" s="66"/>
      <c r="T34" s="5"/>
      <c r="U34" s="5"/>
      <c r="V34" s="5"/>
      <c r="AD34"/>
      <c r="AE34"/>
      <c r="AF34"/>
      <c r="AG34"/>
      <c r="AH34"/>
    </row>
    <row r="35" spans="1:34">
      <c r="A35" s="107">
        <v>12</v>
      </c>
      <c r="B35" s="50" t="s">
        <v>50</v>
      </c>
      <c r="C35" s="109">
        <f>PMT($C$5/12,A35,$C$22*-1,'Restværdi beregning'!H2)</f>
        <v>6855.9989523974618</v>
      </c>
      <c r="D35" s="68">
        <f>PMT($C$6/12,A35,$D$22*-1,'Restværdi beregning'!H3)</f>
        <v>9579.5627099999019</v>
      </c>
      <c r="E35" s="69">
        <f>PMT($C$5/12,A35,$E$22*-1,'Restværdi beregning'!H4)</f>
        <v>21242.464757953549</v>
      </c>
      <c r="F35" s="70">
        <f>PMT($C$6/12,A35,$F$22*-1,'Restværdi beregning'!H5)</f>
        <v>36901.243104776207</v>
      </c>
      <c r="G35" s="71">
        <f>((PMT($C$5/12,A35,$G$22*-1,'Restværdi beregning'!H6)))</f>
        <v>39289.392277349347</v>
      </c>
      <c r="H35" s="72">
        <f>PMT($C$6/12,A35,H22*-1,'Restværdi beregning'!H7)</f>
        <v>85241.871572033022</v>
      </c>
      <c r="I35" s="73">
        <f>PMT($C$5/12,A35,$I$22*-1,'Restværdi beregning'!H8)</f>
        <v>73340.198917718779</v>
      </c>
      <c r="J35" s="74">
        <f>PMT($C$6/12,A35,$J$22*-1,'Restværdi beregning'!H9)</f>
        <v>108784.86467288026</v>
      </c>
      <c r="K35" s="71">
        <f>((PMT($C$5/12,A35,$K$22*-1,'Restværdi beregning'!H$10)))</f>
        <v>78578.784554698694</v>
      </c>
      <c r="L35" s="70">
        <f>((PMT($C$6/12,A35,$L$22*-1,'Restværdi beregning'!H11)))</f>
        <v>97640.689255237827</v>
      </c>
      <c r="M35" s="110">
        <f>PMT($C$6/12,A35,M$22*-1,'Restværdi beregning'!H12)</f>
        <v>0</v>
      </c>
      <c r="N35" s="111">
        <f>PMT($C$6/12,A35,$N$22*-1,'Restværdi beregning'!H13)</f>
        <v>0</v>
      </c>
      <c r="O35" s="48" t="s">
        <v>84</v>
      </c>
      <c r="P35" s="66"/>
      <c r="Q35" s="66"/>
      <c r="R35" s="21"/>
      <c r="S35" s="66"/>
      <c r="T35" s="5"/>
      <c r="U35" s="5"/>
      <c r="V35" s="5"/>
      <c r="AD35"/>
      <c r="AE35"/>
      <c r="AF35"/>
      <c r="AG35"/>
      <c r="AH35"/>
    </row>
    <row r="36" spans="1:34">
      <c r="A36" s="107">
        <v>24</v>
      </c>
      <c r="B36" s="25" t="s">
        <v>51</v>
      </c>
      <c r="C36" s="97">
        <f>PMT($C$5/12,A36,$C$22*-1,'Restværdi beregning'!I2)</f>
        <v>4627.6948931309826</v>
      </c>
      <c r="D36" s="87">
        <f>PMT($C$6/12,A36,$D$22*-1,'Restværdi beregning'!I3)</f>
        <v>7061.0547594696136</v>
      </c>
      <c r="E36" s="88">
        <f>PMT($C$5/12,A36,$E$22*-1,'Restværdi beregning'!I4)</f>
        <v>14338.340241945471</v>
      </c>
      <c r="F36" s="89">
        <f>PMT($C$6/12,A36,$F$22*-1,'Restværdi beregning'!I5)</f>
        <v>27199.748688249667</v>
      </c>
      <c r="G36" s="90">
        <f>PMT($C$5/12,A36,$G$22*-1,'Restværdi beregning'!I6)</f>
        <v>26519.741507913943</v>
      </c>
      <c r="H36" s="91">
        <f>PMT($C$6/12,A36,$H$22*-1,'Restværdi beregning'!I7)</f>
        <v>62831.41946985673</v>
      </c>
      <c r="I36" s="20">
        <f>PMT($C$5/12,A36,$I$22*-1,'Restværdi beregning'!I8)</f>
        <v>49503.517481439361</v>
      </c>
      <c r="J36" s="92">
        <f>PMT($C$6/12,A36,$J$22*-1,'Restværdi beregning'!I9)</f>
        <v>80184.859132960017</v>
      </c>
      <c r="K36" s="90">
        <f>((PMT($C$5/12,A36,$K$22*-1,'Restværdi beregning'!I$10)))</f>
        <v>53039.483015827886</v>
      </c>
      <c r="L36" s="89">
        <f>((PMT($C$6/12,A36,$L$22*-1,'Restværdi beregning'!I11)))</f>
        <v>71970.535029108622</v>
      </c>
      <c r="M36" s="112">
        <f>PMT($C$6/12,A36,$M$22*-1,'Restværdi beregning'!I12)</f>
        <v>0</v>
      </c>
      <c r="N36" s="113">
        <f>PMT($C$6/12,A36,$N$22*-1,'Restværdi beregning'!I13)</f>
        <v>0</v>
      </c>
      <c r="O36" s="48" t="s">
        <v>84</v>
      </c>
      <c r="P36" s="66"/>
      <c r="Q36" s="66"/>
      <c r="R36" s="21"/>
      <c r="S36" s="66"/>
      <c r="T36" s="5"/>
      <c r="U36" s="5"/>
      <c r="V36" s="5"/>
      <c r="AD36"/>
      <c r="AE36"/>
      <c r="AF36"/>
      <c r="AG36"/>
      <c r="AH36"/>
    </row>
    <row r="37" spans="1:34">
      <c r="A37" s="107">
        <v>36</v>
      </c>
      <c r="B37" s="25" t="s">
        <v>52</v>
      </c>
      <c r="C37" s="97">
        <f>PMT($C$5/12,A37,$C$22*-1,'Restværdi beregning'!J2)</f>
        <v>3857.3989727603803</v>
      </c>
      <c r="D37" s="87">
        <f>PMT($C$6/12,A37,$D$22*-1,'Restværdi beregning'!J3)</f>
        <v>6169.893852537999</v>
      </c>
      <c r="E37" s="88">
        <f>PMT($C$5/12,A37,$E$22*-1,'Restværdi beregning'!J4)</f>
        <v>11951.673608056039</v>
      </c>
      <c r="F37" s="89">
        <f>PMT($C$6/12,A37,$F$22*-1,'Restværdi beregning'!J5)</f>
        <v>23766.925472026189</v>
      </c>
      <c r="G37" s="90">
        <f>PMT($C$5/12,A37,$G$22*-1,'Restværdi beregning'!J6)</f>
        <v>22105.438239314502</v>
      </c>
      <c r="H37" s="91">
        <f>PMT($C$6/12,A37,$H$22*-1,'Restværdi beregning'!J7)</f>
        <v>54901.597840380491</v>
      </c>
      <c r="I37" s="20">
        <f>PMT($C$5/12,A37,$I$22*-1,'Restværdi beregning'!J8)</f>
        <v>41263.484713387064</v>
      </c>
      <c r="J37" s="92">
        <f>PMT($C$6/12,A37,$J$22*-1,'Restværdi beregning'!J9)</f>
        <v>70064.896291533223</v>
      </c>
      <c r="K37" s="90">
        <f>((PMT($C$5/12,A37,$K$22*-1,'Restværdi beregning'!J$10)))</f>
        <v>44210.876478629005</v>
      </c>
      <c r="L37" s="89">
        <f>((PMT($C$6/12,A37,$L$22*-1,'Restværdi beregning'!J11)))</f>
        <v>62887.284798981309</v>
      </c>
      <c r="M37" s="112">
        <f>PMT($C$6/12,A37,$M$22*-1,'Restværdi beregning'!J12)</f>
        <v>0</v>
      </c>
      <c r="N37" s="113">
        <f>PMT($C$6/12,A37,$N$22*-1,'Restværdi beregning'!J13)</f>
        <v>0</v>
      </c>
      <c r="O37" s="48" t="s">
        <v>84</v>
      </c>
      <c r="P37" s="66"/>
      <c r="Q37" s="66"/>
      <c r="R37" s="21"/>
      <c r="S37" s="66"/>
      <c r="T37" s="5"/>
      <c r="U37" s="5"/>
      <c r="V37" s="5"/>
      <c r="AD37"/>
      <c r="AE37"/>
      <c r="AF37"/>
      <c r="AG37"/>
      <c r="AH37"/>
    </row>
    <row r="38" spans="1:34">
      <c r="A38" s="107">
        <v>48</v>
      </c>
      <c r="B38" s="25" t="s">
        <v>53</v>
      </c>
      <c r="C38" s="97">
        <f>PMT($C$5/12,A38,$C$22*-1,'Restværdi beregning'!K2)</f>
        <v>3452.1690324686479</v>
      </c>
      <c r="D38" s="87">
        <f>PMT($C$6/12,A38,$D$22*-1,'Restværdi beregning'!K3)</f>
        <v>5686.6188721167455</v>
      </c>
      <c r="E38" s="88">
        <f>PMT($C$5/12,A38,$E$22*-1,'Restværdi beregning'!K4)</f>
        <v>10696.118759625877</v>
      </c>
      <c r="F38" s="89">
        <f>PMT($C$6/12,A38,$F$22*-1,'Restværdi beregning'!K5)</f>
        <v>21905.31152587344</v>
      </c>
      <c r="G38" s="90">
        <f>PMT($C$5/12,A38,$G$22*-1,'Restværdi beregning'!K6)</f>
        <v>19783.203624462163</v>
      </c>
      <c r="H38" s="91">
        <f>PMT($C$6/12,A38,$H$22*-1,'Restværdi beregning'!K7)</f>
        <v>50601.26962476765</v>
      </c>
      <c r="I38" s="20">
        <f>PMT($C$5/12,A38,$I$22*-1,'Restværdi beregning'!K8)</f>
        <v>36928.646765662706</v>
      </c>
      <c r="J38" s="92">
        <f>PMT($C$6/12,A38,$J$22*-1,'Restværdi beregning'!K9)</f>
        <v>64576.858378274905</v>
      </c>
      <c r="K38" s="90">
        <f>((PMT($C$5/12,A38,$K$22*-1,'Restværdi beregning'!K$10)))</f>
        <v>39566.407248924326</v>
      </c>
      <c r="L38" s="89">
        <f>((PMT($C$6/12,A38,$L$22*-1,'Restværdi beregning'!K11)))</f>
        <v>57961.454297461125</v>
      </c>
      <c r="M38" s="112">
        <f>PMT($C$6/12,A38,$M$22*-1,'Restværdi beregning'!K12)</f>
        <v>0</v>
      </c>
      <c r="N38" s="113">
        <f>PMT($C$6/12,A38,$N$22*-1,'Restværdi beregning'!K13)</f>
        <v>0</v>
      </c>
      <c r="O38" s="48" t="s">
        <v>84</v>
      </c>
      <c r="P38" s="66"/>
      <c r="Q38" s="66"/>
      <c r="R38" s="21"/>
      <c r="S38" s="66"/>
      <c r="T38" s="5"/>
      <c r="U38" s="5"/>
      <c r="V38" s="5"/>
      <c r="AD38"/>
      <c r="AE38"/>
      <c r="AF38"/>
      <c r="AG38"/>
      <c r="AH38"/>
    </row>
    <row r="39" spans="1:34">
      <c r="A39" s="107">
        <v>60</v>
      </c>
      <c r="B39" s="25" t="s">
        <v>54</v>
      </c>
      <c r="C39" s="97">
        <f>PMT($C$5/12,A39,$C$22*-1,'Restværdi beregning'!L2)</f>
        <v>3193.4152786798454</v>
      </c>
      <c r="D39" s="87">
        <f>PMT($C$6/12,A39,$D$22*-1,'Restværdi beregning'!L3)</f>
        <v>5367.3352065371264</v>
      </c>
      <c r="E39" s="88">
        <f>PMT($C$5/12,A39,$E$22*-1,'Restværdi beregning'!L4)</f>
        <v>9894.4022579153952</v>
      </c>
      <c r="F39" s="89">
        <f>PMT($C$6/12,A39,$F$22*-1,'Restværdi beregning'!L5)</f>
        <v>20675.405264010504</v>
      </c>
      <c r="G39" s="90">
        <f>PMT($C$5/12,A39,$G$22*-1,'Restværdi beregning'!L6)</f>
        <v>18300.374089855846</v>
      </c>
      <c r="H39" s="91">
        <f>PMT($C$6/12,A39,$H$22*-1,'Restværdi beregning'!L7)</f>
        <v>47760.186159864257</v>
      </c>
      <c r="I39" s="20">
        <f>PMT($C$5/12,A39,$I$22*-1,'Restværdi beregning'!L8)</f>
        <v>34160.698301064251</v>
      </c>
      <c r="J39" s="92">
        <f>PMT($C$6/12,A39,$J$22*-1,'Restværdi beregning'!L9)</f>
        <v>60951.094718302957</v>
      </c>
      <c r="K39" s="90">
        <f>((PMT($C$5/12,A39,$K$22*-1,'Restværdi beregning'!L$10)))</f>
        <v>36600.748179711693</v>
      </c>
      <c r="L39" s="89">
        <f>((PMT($C$6/12,A39,$L$22*-1,'Restværdi beregning'!L11)))</f>
        <v>54707.122328571786</v>
      </c>
      <c r="M39" s="112">
        <f>PMT($C$6/12,A39,$M$22*-1,'Restværdi beregning'!L12)</f>
        <v>0</v>
      </c>
      <c r="N39" s="113">
        <f>PMT($C$6/12,A39,$N$22*-1,'Restværdi beregning'!L13)</f>
        <v>0</v>
      </c>
      <c r="O39" s="48" t="s">
        <v>84</v>
      </c>
      <c r="P39" s="66"/>
      <c r="Q39" s="66"/>
      <c r="R39" s="21"/>
      <c r="S39" s="66"/>
      <c r="T39" s="5"/>
      <c r="U39" s="5"/>
      <c r="V39" s="5"/>
      <c r="AD39"/>
      <c r="AE39"/>
      <c r="AF39"/>
      <c r="AG39"/>
      <c r="AH39"/>
    </row>
    <row r="40" spans="1:34">
      <c r="A40" s="107">
        <v>72</v>
      </c>
      <c r="B40" s="25" t="s">
        <v>55</v>
      </c>
      <c r="C40" s="97">
        <f>PMT($C$5/12,A40,$C$22*-1,'Restværdi beregning'!M2)</f>
        <v>3008.2729925424205</v>
      </c>
      <c r="D40" s="87">
        <f>PMT($C$6/12,A40,$D$22*-1,'Restværdi beregning'!M3)</f>
        <v>5130.7420668128198</v>
      </c>
      <c r="E40" s="88">
        <f>PMT($C$5/12,A40,$E$22*-1,'Restværdi beregning'!M4)</f>
        <v>9320.761783961425</v>
      </c>
      <c r="F40" s="89">
        <f>PMT($C$6/12,A40,$F$22*-1,'Restværdi beregning'!M5)</f>
        <v>19764.029533177272</v>
      </c>
      <c r="G40" s="90">
        <f>PMT($C$5/12,A40,$G$22*-1,'Restværdi beregning'!M6)</f>
        <v>17239.386776747393</v>
      </c>
      <c r="H40" s="91">
        <f>PMT($C$6/12,A40,$H$22*-1,'Restværdi beregning'!M7)</f>
        <v>45654.908221639504</v>
      </c>
      <c r="I40" s="20">
        <f>PMT($C$5/12,A40,$I$22*-1,'Restværdi beregning'!M8)</f>
        <v>32180.18864992847</v>
      </c>
      <c r="J40" s="92">
        <f>PMT($C$6/12,A40,$J$22*-1,'Restværdi beregning'!M9)</f>
        <v>58264.359063806594</v>
      </c>
      <c r="K40" s="90">
        <f>((PMT($C$5/12,A40,$K$22*-1,'Restværdi beregning'!M$10)))</f>
        <v>34478.773553494786</v>
      </c>
      <c r="L40" s="89">
        <f>((PMT($C$6/12,A40,$L$22*-1,'Restværdi beregning'!M11)))</f>
        <v>52295.622144787063</v>
      </c>
      <c r="M40" s="112">
        <f>PMT($C$6/12,A40,$M$22*-1,'Restværdi beregning'!M12)</f>
        <v>0</v>
      </c>
      <c r="N40" s="113">
        <f>PMT($C$6/12,A40,$N$22*-1,'Restværdi beregning'!M13)</f>
        <v>0</v>
      </c>
      <c r="O40" s="48" t="s">
        <v>84</v>
      </c>
      <c r="P40" s="66"/>
      <c r="Q40" s="66"/>
      <c r="R40" s="21"/>
      <c r="S40" s="66"/>
      <c r="T40" s="5"/>
      <c r="U40" s="5"/>
      <c r="V40" s="5"/>
      <c r="AD40"/>
      <c r="AE40"/>
      <c r="AF40"/>
      <c r="AG40"/>
      <c r="AH40"/>
    </row>
    <row r="41" spans="1:34" ht="16.5" thickBot="1">
      <c r="A41" s="107">
        <v>84</v>
      </c>
      <c r="B41" s="63" t="s">
        <v>56</v>
      </c>
      <c r="C41" s="98">
        <f>PMT($C$5/12,A41,$C$22*-1,'Restværdi beregning'!N2)</f>
        <v>2865.5129201033474</v>
      </c>
      <c r="D41" s="114">
        <f>PMT($C$6/12,A41,$D$22*-1,'Restværdi beregning'!N3)</f>
        <v>5135.3490397598116</v>
      </c>
      <c r="E41" s="115">
        <f>PMT($C$5/12,A41,$E$22*-1,'Restværdi beregning'!N4)</f>
        <v>8878.4373570346324</v>
      </c>
      <c r="F41" s="116">
        <f>PMT($C$6/12,A41,$F$22*-1,'Restværdi beregning'!N5)</f>
        <v>19781.775962094802</v>
      </c>
      <c r="G41" s="117">
        <f>PMT($C$5/12,A41,$G$22*-1,'Restværdi beregning'!N6)</f>
        <v>16421.277479102278</v>
      </c>
      <c r="H41" s="99">
        <f>PMT($C$6/12,A41,$H$22*-1,'Restværdi beregning'!N7)</f>
        <v>45695.902472438996</v>
      </c>
      <c r="I41" s="100">
        <f>PMT($C$5/12,A41,$I$22*-1,'Restværdi beregning'!N8)</f>
        <v>30653.051294324257</v>
      </c>
      <c r="J41" s="118">
        <f>PMT($C$6/12,A41,$J$22*-1,'Restværdi beregning'!N9)</f>
        <v>58316.675536255483</v>
      </c>
      <c r="K41" s="117">
        <f>((PMT($C$5/12,A41,$K$22*-1,'Restværdi beregning'!N$10)))</f>
        <v>32842.554958204557</v>
      </c>
      <c r="L41" s="116">
        <f>((PMT($C$6/12,A41,$L$22*-1,'Restværdi beregning'!N11)))</f>
        <v>52342.579195702856</v>
      </c>
      <c r="M41" s="119">
        <f>PMT($C$6/12,A41,$M$22*-1,'Restværdi beregning'!N12)</f>
        <v>0</v>
      </c>
      <c r="N41" s="120">
        <f>PMT($C$6/12,A41,$N$22*-1,'Restværdi beregning'!N13)</f>
        <v>0</v>
      </c>
      <c r="O41" s="48" t="s">
        <v>84</v>
      </c>
      <c r="P41" s="66"/>
      <c r="Q41" s="66"/>
      <c r="R41" s="21"/>
      <c r="S41" s="66"/>
      <c r="T41" s="5"/>
      <c r="U41" s="5"/>
      <c r="V41" s="5"/>
      <c r="AD41"/>
      <c r="AE41"/>
      <c r="AF41"/>
      <c r="AG41"/>
      <c r="AH41"/>
    </row>
    <row r="42" spans="1:34" ht="16.5" thickBot="1">
      <c r="A42" s="76"/>
      <c r="B42" s="121"/>
      <c r="C42" s="122"/>
      <c r="D42" s="123"/>
      <c r="E42" s="122"/>
      <c r="F42" s="122"/>
      <c r="G42" s="124"/>
      <c r="H42" s="123"/>
      <c r="I42" s="122"/>
      <c r="J42" s="122"/>
      <c r="K42" s="124"/>
      <c r="L42" s="123"/>
      <c r="M42" s="124"/>
      <c r="N42" s="123"/>
      <c r="O42" s="125"/>
      <c r="P42" s="66"/>
      <c r="Q42" s="66"/>
      <c r="R42" s="21"/>
      <c r="S42" s="66"/>
      <c r="T42" s="5"/>
      <c r="U42" s="5"/>
      <c r="V42" s="5"/>
      <c r="AD42"/>
      <c r="AE42"/>
      <c r="AF42"/>
      <c r="AG42"/>
      <c r="AH42"/>
    </row>
    <row r="43" spans="1:34" ht="16.5" thickBot="1">
      <c r="A43" s="21"/>
      <c r="B43" s="40" t="s">
        <v>23</v>
      </c>
      <c r="C43" s="126"/>
      <c r="D43" s="127"/>
      <c r="E43" s="126"/>
      <c r="F43" s="127"/>
      <c r="G43" s="126"/>
      <c r="H43" s="127"/>
      <c r="I43" s="126"/>
      <c r="J43" s="127"/>
      <c r="K43" s="126"/>
      <c r="L43" s="127"/>
      <c r="M43" s="126"/>
      <c r="N43" s="128"/>
      <c r="O43" s="66"/>
      <c r="P43" s="66"/>
      <c r="Q43" s="66"/>
      <c r="R43" s="21"/>
      <c r="S43" s="66"/>
      <c r="T43" s="5"/>
      <c r="U43" s="5"/>
      <c r="V43" s="5"/>
      <c r="AD43"/>
      <c r="AE43"/>
      <c r="AF43"/>
      <c r="AG43"/>
      <c r="AH43"/>
    </row>
    <row r="44" spans="1:34">
      <c r="A44" s="21"/>
      <c r="B44" s="50" t="s">
        <v>57</v>
      </c>
      <c r="C44" s="129">
        <f t="shared" ref="C44:C50" si="3">C35+$C$23+C25</f>
        <v>11384.998952397462</v>
      </c>
      <c r="D44" s="130">
        <f t="shared" ref="D44:D50" si="4">D35+$D$23+D25</f>
        <v>11393.962709999902</v>
      </c>
      <c r="E44" s="131">
        <f t="shared" ref="E44:E50" si="5">E35+$E$23+E25</f>
        <v>35328.464757953552</v>
      </c>
      <c r="F44" s="132">
        <f t="shared" ref="F44:F50" si="6">F35+$F$23+F25</f>
        <v>40530.04310477621</v>
      </c>
      <c r="G44" s="133">
        <f t="shared" ref="G44:G50" si="7">G35+$G$23+G25</f>
        <v>63027.392277349347</v>
      </c>
      <c r="H44" s="134">
        <f t="shared" ref="H44:H50" si="8">H35+$H$23+H25</f>
        <v>91894.671572033025</v>
      </c>
      <c r="I44" s="131">
        <f t="shared" ref="I44:I50" si="9">I35+$I$23+I25</f>
        <v>102935.19891771878</v>
      </c>
      <c r="J44" s="132">
        <f t="shared" ref="J44:J50" si="10">J35+$J$23+J25</f>
        <v>116042.46467288026</v>
      </c>
      <c r="K44" s="133">
        <f t="shared" ref="K44:K50" si="11">K35+$K$23+K25</f>
        <v>121734.78455469869</v>
      </c>
      <c r="L44" s="134">
        <f t="shared" ref="L44:L50" si="12">L35+$L$23+L25</f>
        <v>110341.48925523783</v>
      </c>
      <c r="M44" s="135">
        <f t="shared" ref="M44:M50" si="13">+M35+M25+$M$23</f>
        <v>0</v>
      </c>
      <c r="N44" s="136">
        <f>+N35+N25+$N$23</f>
        <v>0</v>
      </c>
      <c r="O44" s="48" t="s">
        <v>84</v>
      </c>
      <c r="P44" s="66"/>
      <c r="Q44" s="66"/>
      <c r="R44" s="21"/>
      <c r="S44" s="66"/>
      <c r="T44" s="5"/>
      <c r="U44" s="5"/>
      <c r="V44" s="5"/>
      <c r="AD44"/>
      <c r="AE44"/>
      <c r="AF44"/>
      <c r="AG44"/>
      <c r="AH44"/>
    </row>
    <row r="45" spans="1:34">
      <c r="A45" s="21"/>
      <c r="B45" s="25" t="s">
        <v>65</v>
      </c>
      <c r="C45" s="137">
        <f t="shared" si="3"/>
        <v>9156.6948931309817</v>
      </c>
      <c r="D45" s="138">
        <f t="shared" si="4"/>
        <v>8875.4547594696141</v>
      </c>
      <c r="E45" s="79">
        <f t="shared" si="5"/>
        <v>28424.340241945472</v>
      </c>
      <c r="F45" s="80">
        <f t="shared" si="6"/>
        <v>30828.548688249666</v>
      </c>
      <c r="G45" s="81">
        <f t="shared" si="7"/>
        <v>50257.741507913946</v>
      </c>
      <c r="H45" s="82">
        <f t="shared" si="8"/>
        <v>69484.219469856733</v>
      </c>
      <c r="I45" s="79">
        <f t="shared" si="9"/>
        <v>79098.517481439369</v>
      </c>
      <c r="J45" s="80">
        <f t="shared" si="10"/>
        <v>87442.459132960023</v>
      </c>
      <c r="K45" s="81">
        <f t="shared" si="11"/>
        <v>96195.483015827893</v>
      </c>
      <c r="L45" s="82">
        <f t="shared" si="12"/>
        <v>84671.335029108624</v>
      </c>
      <c r="M45" s="139">
        <f t="shared" si="13"/>
        <v>0</v>
      </c>
      <c r="N45" s="140">
        <f t="shared" ref="N45:N50" si="14">+N36+N26+$N$23</f>
        <v>0</v>
      </c>
      <c r="O45" s="48" t="s">
        <v>84</v>
      </c>
      <c r="P45" s="21"/>
      <c r="Q45" s="21"/>
      <c r="R45" s="21"/>
      <c r="S45" s="21"/>
      <c r="AD45"/>
      <c r="AE45"/>
      <c r="AF45"/>
      <c r="AG45"/>
      <c r="AH45"/>
    </row>
    <row r="46" spans="1:34">
      <c r="A46" s="21"/>
      <c r="B46" s="25" t="s">
        <v>66</v>
      </c>
      <c r="C46" s="137">
        <f t="shared" si="3"/>
        <v>8386.3989727603803</v>
      </c>
      <c r="D46" s="138">
        <f t="shared" si="4"/>
        <v>7984.2938525379996</v>
      </c>
      <c r="E46" s="79">
        <f t="shared" si="5"/>
        <v>26037.673608056037</v>
      </c>
      <c r="F46" s="80">
        <f t="shared" si="6"/>
        <v>27395.725472026188</v>
      </c>
      <c r="G46" s="81">
        <f t="shared" si="7"/>
        <v>45843.438239314506</v>
      </c>
      <c r="H46" s="82">
        <f t="shared" si="8"/>
        <v>61554.397840380494</v>
      </c>
      <c r="I46" s="79">
        <f t="shared" si="9"/>
        <v>70858.484713387064</v>
      </c>
      <c r="J46" s="80">
        <f t="shared" si="10"/>
        <v>77322.496291533229</v>
      </c>
      <c r="K46" s="81">
        <f t="shared" si="11"/>
        <v>87366.876478629012</v>
      </c>
      <c r="L46" s="82">
        <f t="shared" si="12"/>
        <v>75588.084798981305</v>
      </c>
      <c r="M46" s="139">
        <f t="shared" si="13"/>
        <v>0</v>
      </c>
      <c r="N46" s="140">
        <f t="shared" si="14"/>
        <v>0</v>
      </c>
      <c r="O46" s="48" t="s">
        <v>84</v>
      </c>
      <c r="P46" s="21"/>
      <c r="Q46" s="21"/>
      <c r="R46" s="21"/>
      <c r="S46" s="21"/>
      <c r="AD46"/>
      <c r="AE46"/>
      <c r="AF46"/>
      <c r="AG46"/>
      <c r="AH46"/>
    </row>
    <row r="47" spans="1:34">
      <c r="A47" s="21"/>
      <c r="B47" s="25" t="s">
        <v>67</v>
      </c>
      <c r="C47" s="137">
        <f t="shared" si="3"/>
        <v>7981.1690324686479</v>
      </c>
      <c r="D47" s="138">
        <f t="shared" si="4"/>
        <v>7501.0188721167451</v>
      </c>
      <c r="E47" s="79">
        <f t="shared" si="5"/>
        <v>24782.118759625875</v>
      </c>
      <c r="F47" s="80">
        <f t="shared" si="6"/>
        <v>25534.111525873439</v>
      </c>
      <c r="G47" s="81">
        <f t="shared" si="7"/>
        <v>43521.203624462163</v>
      </c>
      <c r="H47" s="82">
        <f t="shared" si="8"/>
        <v>57254.069624767653</v>
      </c>
      <c r="I47" s="79">
        <f t="shared" si="9"/>
        <v>66523.646765662706</v>
      </c>
      <c r="J47" s="80">
        <f t="shared" si="10"/>
        <v>71834.458378274911</v>
      </c>
      <c r="K47" s="81">
        <f t="shared" si="11"/>
        <v>82722.407248924326</v>
      </c>
      <c r="L47" s="82">
        <f t="shared" si="12"/>
        <v>70662.254297461128</v>
      </c>
      <c r="M47" s="139">
        <f t="shared" si="13"/>
        <v>0</v>
      </c>
      <c r="N47" s="140">
        <f t="shared" si="14"/>
        <v>0</v>
      </c>
      <c r="O47" s="48" t="s">
        <v>84</v>
      </c>
      <c r="P47" s="21"/>
      <c r="Q47" s="21"/>
      <c r="R47" s="21"/>
      <c r="S47" s="21"/>
      <c r="AD47"/>
      <c r="AE47"/>
      <c r="AF47"/>
      <c r="AG47"/>
      <c r="AH47"/>
    </row>
    <row r="48" spans="1:34">
      <c r="A48" s="21"/>
      <c r="B48" s="25" t="s">
        <v>68</v>
      </c>
      <c r="C48" s="137">
        <f t="shared" si="3"/>
        <v>7722.4152786798459</v>
      </c>
      <c r="D48" s="138">
        <f t="shared" si="4"/>
        <v>7181.7352065371269</v>
      </c>
      <c r="E48" s="79">
        <f t="shared" si="5"/>
        <v>23980.402257915397</v>
      </c>
      <c r="F48" s="80">
        <f t="shared" si="6"/>
        <v>24304.205264010503</v>
      </c>
      <c r="G48" s="81">
        <f t="shared" si="7"/>
        <v>42038.374089855846</v>
      </c>
      <c r="H48" s="82">
        <f t="shared" si="8"/>
        <v>54412.98615986426</v>
      </c>
      <c r="I48" s="79">
        <f t="shared" si="9"/>
        <v>63755.698301064251</v>
      </c>
      <c r="J48" s="80">
        <f t="shared" si="10"/>
        <v>68208.694718302955</v>
      </c>
      <c r="K48" s="81">
        <f t="shared" si="11"/>
        <v>79756.748179711693</v>
      </c>
      <c r="L48" s="82">
        <f t="shared" si="12"/>
        <v>67407.922328571789</v>
      </c>
      <c r="M48" s="139">
        <f t="shared" si="13"/>
        <v>0</v>
      </c>
      <c r="N48" s="140">
        <f t="shared" si="14"/>
        <v>0</v>
      </c>
      <c r="O48" s="48" t="s">
        <v>84</v>
      </c>
      <c r="P48" s="21"/>
      <c r="Q48" s="21"/>
      <c r="R48" s="21"/>
      <c r="S48" s="21"/>
      <c r="AD48"/>
      <c r="AE48"/>
      <c r="AF48"/>
      <c r="AG48"/>
      <c r="AH48"/>
    </row>
    <row r="49" spans="1:34">
      <c r="A49" s="21"/>
      <c r="B49" s="25" t="s">
        <v>69</v>
      </c>
      <c r="C49" s="137">
        <f t="shared" si="3"/>
        <v>8370.272992542421</v>
      </c>
      <c r="D49" s="138">
        <f t="shared" si="4"/>
        <v>6945.1420668128194</v>
      </c>
      <c r="E49" s="79">
        <f t="shared" si="5"/>
        <v>23981.761783961425</v>
      </c>
      <c r="F49" s="80">
        <f t="shared" si="6"/>
        <v>23392.829533177272</v>
      </c>
      <c r="G49" s="81">
        <f t="shared" si="7"/>
        <v>41758.386776747393</v>
      </c>
      <c r="H49" s="82">
        <f t="shared" si="8"/>
        <v>52307.708221639507</v>
      </c>
      <c r="I49" s="79">
        <f t="shared" si="9"/>
        <v>62712.688649928474</v>
      </c>
      <c r="J49" s="80">
        <f t="shared" si="10"/>
        <v>65521.959063806593</v>
      </c>
      <c r="K49" s="81">
        <f t="shared" si="11"/>
        <v>78884.773553494786</v>
      </c>
      <c r="L49" s="82">
        <f t="shared" si="12"/>
        <v>64996.422144787066</v>
      </c>
      <c r="M49" s="139">
        <f t="shared" si="13"/>
        <v>0</v>
      </c>
      <c r="N49" s="140">
        <f t="shared" si="14"/>
        <v>0</v>
      </c>
      <c r="O49" s="48" t="s">
        <v>84</v>
      </c>
      <c r="P49" s="21"/>
      <c r="Q49" s="21"/>
      <c r="R49" s="21"/>
      <c r="S49" s="21"/>
      <c r="AD49"/>
      <c r="AE49"/>
      <c r="AF49"/>
      <c r="AG49"/>
      <c r="AH49"/>
    </row>
    <row r="50" spans="1:34" ht="16.5" thickBot="1">
      <c r="A50" s="21"/>
      <c r="B50" s="63" t="s">
        <v>70</v>
      </c>
      <c r="C50" s="141">
        <f t="shared" si="3"/>
        <v>9893.5129201033469</v>
      </c>
      <c r="D50" s="142">
        <f t="shared" si="4"/>
        <v>6949.7490397598121</v>
      </c>
      <c r="E50" s="143">
        <f t="shared" si="5"/>
        <v>25264.437357034632</v>
      </c>
      <c r="F50" s="144">
        <f t="shared" si="6"/>
        <v>23410.575962094801</v>
      </c>
      <c r="G50" s="145">
        <f t="shared" si="7"/>
        <v>43283.277479102282</v>
      </c>
      <c r="H50" s="146">
        <f t="shared" si="8"/>
        <v>52348.702472438999</v>
      </c>
      <c r="I50" s="143">
        <f t="shared" si="9"/>
        <v>62123.051294324257</v>
      </c>
      <c r="J50" s="144">
        <f t="shared" si="10"/>
        <v>65574.275536255489</v>
      </c>
      <c r="K50" s="145">
        <f t="shared" si="11"/>
        <v>80998.554958204564</v>
      </c>
      <c r="L50" s="146">
        <f t="shared" si="12"/>
        <v>65043.379195702859</v>
      </c>
      <c r="M50" s="147">
        <f t="shared" si="13"/>
        <v>0</v>
      </c>
      <c r="N50" s="148">
        <f t="shared" si="14"/>
        <v>0</v>
      </c>
      <c r="O50" s="48" t="s">
        <v>84</v>
      </c>
      <c r="P50" s="21"/>
      <c r="Q50" s="21"/>
      <c r="R50" s="21"/>
      <c r="S50" s="21"/>
      <c r="AD50"/>
      <c r="AE50"/>
      <c r="AF50"/>
      <c r="AG50"/>
      <c r="AH50"/>
    </row>
    <row r="51" spans="1:34" ht="16.5" thickBot="1">
      <c r="A51" s="21"/>
      <c r="B51" s="21"/>
      <c r="C51" s="21"/>
      <c r="D51" s="21"/>
      <c r="E51" s="21"/>
      <c r="F51" s="21"/>
      <c r="G51" s="21"/>
      <c r="H51" s="21"/>
      <c r="I51" s="21"/>
      <c r="J51" s="21"/>
      <c r="K51" s="21"/>
      <c r="L51" s="21"/>
      <c r="M51" s="21"/>
      <c r="N51" s="21"/>
      <c r="O51" s="21"/>
      <c r="P51" s="21"/>
      <c r="Q51" s="21"/>
      <c r="R51" s="21"/>
      <c r="S51" s="21"/>
    </row>
    <row r="52" spans="1:34" ht="16.5" thickBot="1">
      <c r="A52" s="21"/>
      <c r="B52" s="149" t="s">
        <v>71</v>
      </c>
      <c r="C52" s="150">
        <f>MIN(C$44:C$50)/($C$4*21)</f>
        <v>45.966757611189557</v>
      </c>
      <c r="D52" s="151">
        <f t="shared" ref="D52:N52" si="15">MIN(D$44:D$50)/($C$4*21)</f>
        <v>41.340131350076305</v>
      </c>
      <c r="E52" s="150">
        <f t="shared" si="15"/>
        <v>142.74048963044879</v>
      </c>
      <c r="F52" s="151">
        <f t="shared" si="15"/>
        <v>139.24303293557901</v>
      </c>
      <c r="G52" s="150">
        <f t="shared" si="15"/>
        <v>248.56182605206783</v>
      </c>
      <c r="H52" s="151">
        <f t="shared" si="15"/>
        <v>311.35540608118754</v>
      </c>
      <c r="I52" s="150">
        <f t="shared" si="15"/>
        <v>369.78006722812057</v>
      </c>
      <c r="J52" s="151">
        <f t="shared" si="15"/>
        <v>390.01166109408689</v>
      </c>
      <c r="K52" s="152">
        <f t="shared" si="15"/>
        <v>469.55222353270705</v>
      </c>
      <c r="L52" s="153">
        <f t="shared" si="15"/>
        <v>386.88346514754204</v>
      </c>
      <c r="M52" s="154">
        <f t="shared" si="15"/>
        <v>0</v>
      </c>
      <c r="N52" s="155">
        <f t="shared" si="15"/>
        <v>0</v>
      </c>
      <c r="O52" s="48" t="s">
        <v>84</v>
      </c>
      <c r="P52" s="21"/>
      <c r="Q52" s="21"/>
      <c r="R52" s="21"/>
      <c r="S52" s="21"/>
    </row>
    <row r="53" spans="1:34">
      <c r="A53" s="21"/>
      <c r="B53" s="21"/>
      <c r="C53" s="21"/>
      <c r="D53" s="21"/>
      <c r="E53" s="21"/>
      <c r="F53" s="21"/>
      <c r="G53" s="21"/>
      <c r="H53" s="21"/>
      <c r="I53" s="21"/>
      <c r="J53" s="21"/>
      <c r="K53" s="21"/>
      <c r="L53" s="21"/>
      <c r="M53" s="21"/>
      <c r="N53" s="21"/>
      <c r="O53" s="21"/>
      <c r="P53" s="21"/>
      <c r="Q53" s="21"/>
      <c r="R53" s="21"/>
      <c r="S53" s="21"/>
    </row>
    <row r="54" spans="1:34">
      <c r="A54" s="21"/>
      <c r="B54" s="21"/>
      <c r="C54" s="21"/>
      <c r="D54" s="21"/>
      <c r="E54" s="21"/>
      <c r="F54" s="21"/>
      <c r="G54" s="21"/>
      <c r="H54" s="21"/>
      <c r="I54" s="21"/>
      <c r="J54" s="21"/>
      <c r="K54" s="21"/>
      <c r="L54" s="21"/>
      <c r="M54" s="21"/>
      <c r="N54" s="21"/>
      <c r="O54" s="21"/>
      <c r="P54" s="21"/>
      <c r="Q54" s="21"/>
      <c r="R54" s="21"/>
      <c r="S54" s="21"/>
    </row>
    <row r="55" spans="1:34">
      <c r="A55" s="21"/>
      <c r="B55" s="21"/>
      <c r="C55" s="21"/>
      <c r="D55" s="21"/>
      <c r="E55" s="21"/>
      <c r="F55" s="21"/>
      <c r="G55" s="21"/>
      <c r="H55" s="21"/>
      <c r="I55" s="21"/>
      <c r="J55" s="21"/>
      <c r="K55" s="21"/>
      <c r="L55" s="21"/>
      <c r="M55" s="21"/>
      <c r="N55" s="21"/>
      <c r="O55" s="21"/>
      <c r="P55" s="156"/>
      <c r="Q55" s="21"/>
      <c r="R55" s="21"/>
      <c r="S55" s="21"/>
    </row>
    <row r="56" spans="1:34">
      <c r="A56" s="21"/>
      <c r="B56" s="21"/>
      <c r="C56" s="21"/>
      <c r="D56" s="21"/>
      <c r="E56" s="21"/>
      <c r="F56" s="21"/>
      <c r="G56" s="21"/>
      <c r="H56" s="21"/>
      <c r="I56" s="21"/>
      <c r="J56" s="21"/>
      <c r="K56" s="21"/>
      <c r="L56" s="21"/>
      <c r="M56" s="21"/>
      <c r="N56" s="21"/>
      <c r="O56" s="21"/>
      <c r="P56" s="156"/>
      <c r="Q56" s="21"/>
      <c r="R56" s="21"/>
      <c r="S56" s="21"/>
    </row>
    <row r="57" spans="1:34">
      <c r="A57" s="21"/>
      <c r="B57" s="21"/>
      <c r="C57" s="21"/>
      <c r="D57" s="21"/>
      <c r="E57" s="21"/>
      <c r="F57" s="21"/>
      <c r="G57" s="21"/>
      <c r="H57" s="21"/>
      <c r="I57" s="21"/>
      <c r="J57" s="21"/>
      <c r="K57" s="21"/>
      <c r="L57" s="21"/>
      <c r="M57" s="21"/>
      <c r="N57" s="21"/>
      <c r="O57" s="21"/>
      <c r="P57" s="21"/>
      <c r="Q57" s="21"/>
      <c r="R57" s="21"/>
      <c r="S57" s="21"/>
    </row>
    <row r="58" spans="1:34">
      <c r="A58" s="21"/>
      <c r="B58" s="21"/>
      <c r="C58" s="21"/>
      <c r="D58" s="21"/>
      <c r="E58" s="21"/>
      <c r="F58" s="21"/>
      <c r="G58" s="21"/>
      <c r="H58" s="21"/>
      <c r="I58" s="21"/>
      <c r="J58" s="21"/>
      <c r="K58" s="21"/>
      <c r="L58" s="21"/>
      <c r="M58" s="21"/>
      <c r="N58" s="21"/>
      <c r="O58" s="21"/>
      <c r="P58" s="21"/>
      <c r="Q58" s="21"/>
      <c r="R58" s="21"/>
      <c r="S58" s="21"/>
    </row>
    <row r="59" spans="1:34">
      <c r="A59" s="21"/>
      <c r="B59" s="21"/>
      <c r="C59" s="21"/>
      <c r="D59" s="21"/>
      <c r="E59" s="21"/>
      <c r="F59" s="21"/>
      <c r="G59" s="21"/>
      <c r="H59" s="21"/>
      <c r="I59" s="21"/>
      <c r="J59" s="21"/>
      <c r="K59" s="21"/>
      <c r="L59" s="21"/>
      <c r="M59" s="21"/>
      <c r="N59" s="21"/>
      <c r="O59" s="21"/>
      <c r="P59" s="21"/>
      <c r="Q59" s="21"/>
      <c r="R59" s="21"/>
      <c r="S59" s="21"/>
    </row>
    <row r="60" spans="1:34">
      <c r="A60" s="21"/>
      <c r="B60" s="21"/>
      <c r="C60" s="21"/>
      <c r="D60" s="21"/>
      <c r="E60" s="21"/>
      <c r="F60" s="21"/>
      <c r="G60" s="21"/>
      <c r="H60" s="21"/>
      <c r="I60" s="21"/>
      <c r="J60" s="21"/>
      <c r="K60" s="21"/>
      <c r="L60" s="21"/>
      <c r="M60" s="21"/>
      <c r="N60" s="21"/>
      <c r="O60" s="21"/>
      <c r="P60" s="21"/>
      <c r="Q60" s="21"/>
      <c r="R60" s="21"/>
      <c r="S60" s="21"/>
    </row>
    <row r="61" spans="1:34">
      <c r="A61" s="21"/>
      <c r="B61" s="21"/>
      <c r="C61" s="21"/>
      <c r="D61" s="21"/>
      <c r="E61" s="21"/>
      <c r="F61" s="21"/>
      <c r="G61" s="21"/>
      <c r="H61" s="21"/>
      <c r="I61" s="21"/>
      <c r="J61" s="21"/>
      <c r="K61" s="21"/>
      <c r="L61" s="21"/>
      <c r="M61" s="21"/>
      <c r="N61" s="21"/>
      <c r="O61" s="21"/>
      <c r="P61" s="21"/>
      <c r="Q61" s="21"/>
      <c r="R61" s="21"/>
      <c r="S61" s="21"/>
    </row>
    <row r="62" spans="1:34">
      <c r="A62" s="21"/>
      <c r="B62" s="21"/>
      <c r="C62" s="21"/>
      <c r="D62" s="21"/>
      <c r="E62" s="21"/>
      <c r="F62" s="21"/>
      <c r="G62" s="21"/>
      <c r="H62" s="21"/>
      <c r="I62" s="21"/>
      <c r="J62" s="21"/>
      <c r="K62" s="21"/>
      <c r="L62" s="21"/>
      <c r="M62" s="21"/>
      <c r="N62" s="21"/>
      <c r="O62" s="21"/>
      <c r="P62" s="21"/>
      <c r="Q62" s="21"/>
      <c r="R62" s="21"/>
      <c r="S62" s="21"/>
    </row>
    <row r="63" spans="1:34">
      <c r="A63" s="21"/>
      <c r="B63" s="21"/>
      <c r="C63" s="21"/>
      <c r="D63" s="21"/>
      <c r="E63" s="21"/>
      <c r="F63" s="21"/>
      <c r="G63" s="21"/>
      <c r="H63" s="21"/>
      <c r="I63" s="21"/>
      <c r="J63" s="21"/>
      <c r="K63" s="21"/>
      <c r="L63" s="21"/>
      <c r="M63" s="21"/>
      <c r="N63" s="21"/>
      <c r="O63" s="21"/>
      <c r="P63" s="66"/>
      <c r="Q63" s="21"/>
      <c r="R63" s="21"/>
      <c r="S63" s="21"/>
    </row>
    <row r="64" spans="1:34">
      <c r="A64" s="21"/>
      <c r="B64" s="21"/>
      <c r="C64" s="21"/>
      <c r="D64" s="21"/>
      <c r="E64" s="21"/>
      <c r="F64" s="21"/>
      <c r="G64" s="21"/>
      <c r="H64" s="21"/>
      <c r="I64" s="21"/>
      <c r="J64" s="21"/>
      <c r="K64" s="21"/>
      <c r="L64" s="21"/>
      <c r="M64" s="21"/>
      <c r="N64" s="21"/>
      <c r="O64" s="21"/>
      <c r="P64" s="66"/>
      <c r="Q64" s="21"/>
      <c r="R64" s="21"/>
      <c r="S64" s="21"/>
    </row>
    <row r="65" spans="1:19">
      <c r="A65" s="21"/>
      <c r="B65" s="21"/>
      <c r="C65" s="21"/>
      <c r="D65" s="21"/>
      <c r="E65" s="21"/>
      <c r="F65" s="21"/>
      <c r="G65" s="21"/>
      <c r="H65" s="21"/>
      <c r="I65" s="21"/>
      <c r="J65" s="21"/>
      <c r="K65" s="21"/>
      <c r="L65" s="21"/>
      <c r="M65" s="21"/>
      <c r="N65" s="21"/>
      <c r="O65" s="21"/>
      <c r="P65" s="66"/>
      <c r="Q65" s="21"/>
      <c r="R65" s="21"/>
      <c r="S65" s="21"/>
    </row>
    <row r="66" spans="1:19">
      <c r="A66" s="21"/>
      <c r="B66" s="21"/>
      <c r="C66" s="21"/>
      <c r="D66" s="21"/>
      <c r="E66" s="21"/>
      <c r="F66" s="21"/>
      <c r="G66" s="21"/>
      <c r="H66" s="21"/>
      <c r="I66" s="21"/>
      <c r="J66" s="21"/>
      <c r="K66" s="21"/>
      <c r="L66" s="21"/>
      <c r="M66" s="21"/>
      <c r="N66" s="21"/>
      <c r="O66" s="21"/>
      <c r="P66" s="66"/>
      <c r="Q66" s="21"/>
      <c r="R66" s="21"/>
      <c r="S66" s="21"/>
    </row>
    <row r="67" spans="1:19">
      <c r="A67" s="21"/>
      <c r="B67" s="21"/>
      <c r="C67" s="21"/>
      <c r="D67" s="21"/>
      <c r="E67" s="21"/>
      <c r="F67" s="21"/>
      <c r="G67" s="21"/>
      <c r="H67" s="21"/>
      <c r="I67" s="21"/>
      <c r="J67" s="21"/>
      <c r="K67" s="21"/>
      <c r="L67" s="21"/>
      <c r="M67" s="21"/>
      <c r="N67" s="21"/>
      <c r="O67" s="21"/>
      <c r="P67" s="66"/>
      <c r="Q67" s="21"/>
      <c r="R67" s="21"/>
      <c r="S67" s="21"/>
    </row>
    <row r="68" spans="1:19">
      <c r="A68" s="21"/>
      <c r="B68" s="21"/>
      <c r="C68" s="21"/>
      <c r="D68" s="21"/>
      <c r="E68" s="21"/>
      <c r="F68" s="21"/>
      <c r="G68" s="21"/>
      <c r="H68" s="21"/>
      <c r="I68" s="21"/>
      <c r="J68" s="21"/>
      <c r="K68" s="21"/>
      <c r="L68" s="21"/>
      <c r="M68" s="21"/>
      <c r="N68" s="21"/>
      <c r="O68" s="21"/>
      <c r="P68" s="21"/>
      <c r="Q68" s="21"/>
      <c r="R68" s="21"/>
      <c r="S68" s="21"/>
    </row>
    <row r="69" spans="1:19">
      <c r="A69" s="21"/>
      <c r="B69" s="21"/>
      <c r="C69" s="21"/>
      <c r="D69" s="21"/>
      <c r="E69" s="21"/>
      <c r="F69" s="21"/>
      <c r="G69" s="21"/>
      <c r="H69" s="21"/>
      <c r="I69" s="21"/>
      <c r="J69" s="21"/>
      <c r="K69" s="21"/>
      <c r="L69" s="21"/>
      <c r="M69" s="21"/>
      <c r="N69" s="21"/>
      <c r="O69" s="21"/>
      <c r="P69" s="21"/>
      <c r="Q69" s="21"/>
      <c r="R69" s="21"/>
      <c r="S69" s="21"/>
    </row>
    <row r="70" spans="1:19">
      <c r="A70" s="21"/>
      <c r="B70" s="21"/>
      <c r="C70" s="21"/>
      <c r="D70" s="21"/>
      <c r="E70" s="21"/>
      <c r="F70" s="21"/>
      <c r="G70" s="21"/>
      <c r="H70" s="21"/>
      <c r="I70" s="21"/>
      <c r="J70" s="21"/>
      <c r="K70" s="21"/>
      <c r="L70" s="21"/>
      <c r="M70" s="21"/>
      <c r="N70" s="21"/>
      <c r="O70" s="21"/>
      <c r="P70" s="21"/>
      <c r="Q70" s="21"/>
      <c r="R70" s="21"/>
      <c r="S70" s="21"/>
    </row>
    <row r="71" spans="1:19">
      <c r="A71" s="4"/>
      <c r="B71" s="4"/>
      <c r="C71" s="4"/>
      <c r="D71" s="4"/>
      <c r="E71" s="4"/>
      <c r="F71" s="4"/>
      <c r="G71" s="4"/>
      <c r="H71" s="4"/>
      <c r="I71" s="4"/>
      <c r="J71" s="4"/>
      <c r="K71" s="4"/>
      <c r="L71" s="4"/>
      <c r="M71" s="4"/>
      <c r="N71" s="4"/>
      <c r="O71" s="4"/>
      <c r="P71" s="4"/>
      <c r="Q71" s="4"/>
      <c r="R71" s="4"/>
      <c r="S71" s="4"/>
    </row>
    <row r="72" spans="1:19">
      <c r="A72" s="4"/>
      <c r="B72" s="4"/>
      <c r="C72" s="4"/>
      <c r="D72" s="4"/>
      <c r="E72" s="4"/>
      <c r="F72" s="4"/>
      <c r="G72" s="4"/>
      <c r="H72" s="4"/>
      <c r="I72" s="4"/>
      <c r="J72" s="4"/>
      <c r="K72" s="4"/>
      <c r="L72" s="4"/>
      <c r="M72" s="4"/>
      <c r="N72" s="4"/>
      <c r="O72" s="4"/>
      <c r="P72" s="4"/>
      <c r="Q72" s="4"/>
      <c r="R72" s="4"/>
      <c r="S72" s="4"/>
    </row>
    <row r="73" spans="1:19">
      <c r="A73" s="4"/>
      <c r="B73" s="4"/>
      <c r="C73" s="4"/>
      <c r="D73" s="4"/>
      <c r="E73" s="4"/>
      <c r="F73" s="4"/>
      <c r="G73" s="4"/>
      <c r="H73" s="4"/>
      <c r="I73" s="4"/>
      <c r="J73" s="4"/>
      <c r="K73" s="4"/>
      <c r="L73" s="4"/>
      <c r="M73" s="4"/>
      <c r="N73" s="4"/>
      <c r="O73" s="4"/>
      <c r="P73" s="4"/>
      <c r="Q73" s="4"/>
      <c r="R73" s="4"/>
      <c r="S73" s="4"/>
    </row>
    <row r="74" spans="1:19">
      <c r="A74" s="4"/>
      <c r="B74" s="4"/>
      <c r="C74" s="4"/>
      <c r="D74" s="4"/>
      <c r="E74" s="4"/>
      <c r="F74" s="4"/>
      <c r="G74" s="4"/>
      <c r="H74" s="4"/>
      <c r="I74" s="4"/>
      <c r="J74" s="4"/>
      <c r="K74" s="4"/>
      <c r="L74" s="4"/>
      <c r="M74" s="4"/>
      <c r="N74" s="4"/>
      <c r="O74" s="4"/>
      <c r="P74" s="4"/>
      <c r="Q74" s="4"/>
      <c r="R74" s="4"/>
      <c r="S74" s="4"/>
    </row>
    <row r="75" spans="1:19">
      <c r="A75" s="4"/>
      <c r="B75" s="4"/>
      <c r="C75" s="4"/>
      <c r="D75" s="4"/>
      <c r="E75" s="4"/>
      <c r="F75" s="4"/>
      <c r="G75" s="4"/>
      <c r="H75" s="4"/>
      <c r="I75" s="4"/>
      <c r="J75" s="4"/>
      <c r="K75" s="4"/>
      <c r="L75" s="4"/>
      <c r="M75" s="4"/>
      <c r="N75" s="4"/>
      <c r="O75" s="4"/>
      <c r="P75" s="4"/>
      <c r="Q75" s="4"/>
      <c r="R75" s="4"/>
      <c r="S75" s="4"/>
    </row>
    <row r="76" spans="1:19">
      <c r="A76" s="4"/>
      <c r="B76" s="4"/>
      <c r="C76" s="4"/>
      <c r="D76" s="4"/>
      <c r="E76" s="4"/>
      <c r="F76" s="4"/>
      <c r="G76" s="4"/>
      <c r="H76" s="4"/>
      <c r="I76" s="4"/>
      <c r="J76" s="4"/>
      <c r="K76" s="4"/>
      <c r="L76" s="4"/>
      <c r="M76" s="4"/>
      <c r="N76" s="4"/>
      <c r="O76" s="4"/>
      <c r="P76" s="4"/>
      <c r="Q76" s="4"/>
      <c r="R76" s="4"/>
      <c r="S76" s="4"/>
    </row>
    <row r="77" spans="1:19">
      <c r="A77" s="4"/>
      <c r="B77" s="4"/>
      <c r="C77" s="4"/>
      <c r="D77" s="4"/>
      <c r="E77" s="4"/>
      <c r="F77" s="4"/>
      <c r="G77" s="4"/>
      <c r="H77" s="4"/>
      <c r="I77" s="4"/>
      <c r="J77" s="4"/>
      <c r="K77" s="4"/>
      <c r="L77" s="4"/>
      <c r="M77" s="4"/>
      <c r="N77" s="4"/>
      <c r="O77" s="4"/>
      <c r="P77" s="4"/>
      <c r="Q77" s="4"/>
      <c r="R77" s="4"/>
      <c r="S77" s="4"/>
    </row>
    <row r="78" spans="1:19">
      <c r="A78" s="4"/>
      <c r="B78" s="4"/>
      <c r="C78" s="4"/>
      <c r="D78" s="4"/>
      <c r="E78" s="4"/>
      <c r="F78" s="4"/>
      <c r="G78" s="4"/>
      <c r="H78" s="4"/>
      <c r="I78" s="4"/>
      <c r="J78" s="4"/>
      <c r="K78" s="4"/>
      <c r="L78" s="4"/>
      <c r="M78" s="4"/>
      <c r="N78" s="4"/>
      <c r="O78" s="4"/>
      <c r="P78" s="4"/>
      <c r="Q78" s="4"/>
      <c r="R78" s="4"/>
      <c r="S78" s="4"/>
    </row>
    <row r="79" spans="1:19">
      <c r="A79" s="4"/>
      <c r="B79" s="4"/>
      <c r="C79" s="4"/>
      <c r="D79" s="4"/>
      <c r="E79" s="4"/>
      <c r="F79" s="4"/>
      <c r="G79" s="4"/>
      <c r="H79" s="4"/>
      <c r="I79" s="4"/>
      <c r="J79" s="4"/>
      <c r="K79" s="4"/>
      <c r="L79" s="4"/>
      <c r="M79" s="4"/>
      <c r="N79" s="4"/>
      <c r="O79" s="4"/>
      <c r="P79" s="4"/>
      <c r="Q79" s="4"/>
      <c r="R79" s="4"/>
      <c r="S79" s="4"/>
    </row>
    <row r="80" spans="1:19">
      <c r="A80" s="4"/>
      <c r="B80" s="4"/>
      <c r="C80" s="4"/>
      <c r="D80" s="4"/>
      <c r="E80" s="4"/>
      <c r="F80" s="4"/>
      <c r="G80" s="4"/>
      <c r="H80" s="4"/>
      <c r="I80" s="4"/>
      <c r="J80" s="4"/>
      <c r="K80" s="4"/>
      <c r="L80" s="4"/>
      <c r="M80" s="4"/>
      <c r="N80" s="4"/>
      <c r="O80" s="4"/>
      <c r="P80" s="4"/>
      <c r="Q80" s="4"/>
      <c r="R80" s="4"/>
      <c r="S80" s="4"/>
    </row>
    <row r="81" spans="1:19">
      <c r="A81" s="4"/>
      <c r="B81" s="4"/>
      <c r="C81" s="4"/>
      <c r="D81" s="4"/>
      <c r="E81" s="4"/>
      <c r="F81" s="4"/>
      <c r="G81" s="4"/>
      <c r="H81" s="4"/>
      <c r="I81" s="4"/>
      <c r="J81" s="4"/>
      <c r="K81" s="4"/>
      <c r="L81" s="4"/>
      <c r="M81" s="4"/>
      <c r="N81" s="4"/>
      <c r="O81" s="4"/>
      <c r="P81" s="4"/>
      <c r="Q81" s="4"/>
      <c r="R81" s="4"/>
      <c r="S81" s="4"/>
    </row>
    <row r="82" spans="1:19">
      <c r="A82" s="4"/>
      <c r="B82" s="4"/>
      <c r="C82" s="4"/>
      <c r="D82" s="4"/>
      <c r="E82" s="4"/>
      <c r="F82" s="4"/>
      <c r="G82" s="4"/>
      <c r="H82" s="4"/>
      <c r="I82" s="4"/>
      <c r="J82" s="4"/>
      <c r="K82" s="4"/>
      <c r="L82" s="4"/>
      <c r="M82" s="4"/>
      <c r="N82" s="4"/>
      <c r="O82" s="4"/>
      <c r="P82" s="4"/>
      <c r="Q82" s="4"/>
      <c r="R82" s="4"/>
      <c r="S82" s="4"/>
    </row>
    <row r="83" spans="1:19">
      <c r="A83" s="4"/>
      <c r="B83" s="4"/>
      <c r="C83" s="4"/>
      <c r="D83" s="4"/>
      <c r="E83" s="4"/>
      <c r="F83" s="4"/>
      <c r="G83" s="4"/>
      <c r="H83" s="4"/>
      <c r="I83" s="4"/>
      <c r="J83" s="4"/>
      <c r="K83" s="4"/>
      <c r="L83" s="4"/>
      <c r="M83" s="4"/>
      <c r="N83" s="4"/>
      <c r="O83" s="4"/>
      <c r="P83" s="4"/>
      <c r="Q83" s="4"/>
      <c r="R83" s="4"/>
      <c r="S83" s="4"/>
    </row>
    <row r="84" spans="1:19">
      <c r="A84" s="4"/>
      <c r="B84" s="4"/>
      <c r="C84" s="4"/>
      <c r="D84" s="4"/>
      <c r="E84" s="4"/>
      <c r="F84" s="4"/>
      <c r="G84" s="4"/>
      <c r="H84" s="4"/>
      <c r="I84" s="4"/>
      <c r="J84" s="4"/>
      <c r="K84" s="4"/>
      <c r="L84" s="4"/>
      <c r="M84" s="4"/>
      <c r="N84" s="4"/>
      <c r="O84" s="4"/>
      <c r="P84" s="4"/>
      <c r="Q84" s="4"/>
      <c r="R84" s="4"/>
      <c r="S84" s="4"/>
    </row>
    <row r="85" spans="1:19">
      <c r="A85" s="4"/>
      <c r="B85" s="4"/>
      <c r="C85" s="4"/>
      <c r="D85" s="4"/>
      <c r="E85" s="4"/>
      <c r="F85" s="4"/>
      <c r="G85" s="4"/>
      <c r="H85" s="4"/>
      <c r="I85" s="4"/>
      <c r="J85" s="4"/>
      <c r="K85" s="4"/>
      <c r="L85" s="4"/>
      <c r="M85" s="4"/>
      <c r="N85" s="4"/>
      <c r="O85" s="4"/>
      <c r="P85" s="4"/>
      <c r="Q85" s="4"/>
      <c r="R85" s="4"/>
      <c r="S85" s="4"/>
    </row>
    <row r="86" spans="1:19">
      <c r="A86" s="4"/>
      <c r="B86" s="4"/>
      <c r="C86" s="4"/>
      <c r="D86" s="4"/>
      <c r="E86" s="4"/>
      <c r="F86" s="4"/>
      <c r="G86" s="4"/>
      <c r="H86" s="4"/>
      <c r="I86" s="4"/>
      <c r="J86" s="4"/>
      <c r="K86" s="4"/>
      <c r="L86" s="4"/>
      <c r="M86" s="4"/>
      <c r="N86" s="4"/>
      <c r="O86" s="4"/>
      <c r="P86" s="4"/>
      <c r="Q86" s="4"/>
      <c r="R86" s="4"/>
      <c r="S86" s="4"/>
    </row>
    <row r="87" spans="1:19">
      <c r="A87" s="4"/>
      <c r="B87" s="4"/>
      <c r="C87" s="4"/>
      <c r="D87" s="4"/>
      <c r="E87" s="4"/>
      <c r="F87" s="4"/>
      <c r="G87" s="4"/>
      <c r="H87" s="4"/>
      <c r="I87" s="4"/>
      <c r="J87" s="4"/>
      <c r="K87" s="4"/>
      <c r="L87" s="4"/>
      <c r="M87" s="4"/>
      <c r="N87" s="4"/>
      <c r="O87" s="4"/>
      <c r="P87" s="4"/>
      <c r="Q87" s="4"/>
      <c r="R87" s="4"/>
      <c r="S87" s="4"/>
    </row>
    <row r="88" spans="1:19">
      <c r="A88" s="4"/>
      <c r="B88" s="4"/>
      <c r="C88" s="4"/>
      <c r="D88" s="4"/>
      <c r="E88" s="4"/>
      <c r="F88" s="4"/>
      <c r="G88" s="4"/>
      <c r="H88" s="4"/>
      <c r="I88" s="4"/>
      <c r="J88" s="4"/>
      <c r="K88" s="4"/>
      <c r="L88" s="4"/>
      <c r="M88" s="4"/>
      <c r="N88" s="4"/>
      <c r="O88" s="4"/>
      <c r="P88" s="4"/>
      <c r="Q88" s="4"/>
      <c r="R88" s="4"/>
      <c r="S88" s="4"/>
    </row>
    <row r="89" spans="1:19">
      <c r="A89" s="4"/>
      <c r="B89" s="4"/>
      <c r="C89" s="4"/>
      <c r="D89" s="4"/>
      <c r="E89" s="4"/>
      <c r="F89" s="4"/>
      <c r="G89" s="4"/>
      <c r="H89" s="4"/>
      <c r="I89" s="4"/>
      <c r="J89" s="4"/>
      <c r="K89" s="4"/>
      <c r="L89" s="4"/>
      <c r="M89" s="4"/>
      <c r="N89" s="4"/>
      <c r="O89" s="4"/>
      <c r="P89" s="4"/>
      <c r="Q89" s="4"/>
      <c r="R89" s="4"/>
      <c r="S89" s="4"/>
    </row>
    <row r="90" spans="1:19">
      <c r="A90" s="4"/>
      <c r="B90" s="4"/>
      <c r="C90" s="4"/>
      <c r="D90" s="4"/>
      <c r="E90" s="4"/>
      <c r="F90" s="4"/>
      <c r="G90" s="4"/>
      <c r="H90" s="4"/>
      <c r="I90" s="4"/>
      <c r="J90" s="4"/>
      <c r="K90" s="4"/>
      <c r="L90" s="4"/>
      <c r="M90" s="4"/>
      <c r="N90" s="4"/>
      <c r="O90" s="4"/>
      <c r="P90" s="4"/>
      <c r="Q90" s="4"/>
      <c r="R90" s="4"/>
      <c r="S90" s="4"/>
    </row>
    <row r="91" spans="1:19">
      <c r="A91" s="4"/>
      <c r="B91" s="4"/>
      <c r="C91" s="4"/>
      <c r="D91" s="4"/>
      <c r="E91" s="4"/>
      <c r="F91" s="4"/>
      <c r="G91" s="4"/>
      <c r="H91" s="4"/>
      <c r="I91" s="4"/>
      <c r="J91" s="4"/>
      <c r="K91" s="4"/>
      <c r="L91" s="4"/>
      <c r="M91" s="4"/>
      <c r="N91" s="4"/>
      <c r="O91" s="4"/>
      <c r="P91" s="4"/>
      <c r="Q91" s="4"/>
      <c r="R91" s="4"/>
      <c r="S91" s="4"/>
    </row>
    <row r="92" spans="1:19">
      <c r="A92" s="4"/>
      <c r="B92" s="4"/>
      <c r="C92" s="4"/>
      <c r="D92" s="4"/>
      <c r="E92" s="4"/>
      <c r="F92" s="4"/>
      <c r="G92" s="4"/>
      <c r="H92" s="4"/>
      <c r="I92" s="4"/>
      <c r="J92" s="4"/>
      <c r="K92" s="4"/>
      <c r="L92" s="4"/>
      <c r="M92" s="4"/>
      <c r="N92" s="4"/>
      <c r="O92" s="4"/>
      <c r="P92" s="4"/>
      <c r="Q92" s="4"/>
      <c r="R92" s="4"/>
      <c r="S92" s="4"/>
    </row>
    <row r="93" spans="1:19">
      <c r="A93" s="4"/>
      <c r="B93" s="4"/>
      <c r="C93" s="4"/>
      <c r="D93" s="4"/>
      <c r="E93" s="4"/>
      <c r="F93" s="4"/>
      <c r="G93" s="4"/>
      <c r="H93" s="4"/>
      <c r="I93" s="4"/>
      <c r="J93" s="4"/>
      <c r="K93" s="4"/>
      <c r="L93" s="4"/>
      <c r="M93" s="4"/>
      <c r="N93" s="4"/>
      <c r="O93" s="4"/>
      <c r="P93" s="4"/>
      <c r="Q93" s="4"/>
      <c r="R93" s="4"/>
      <c r="S93" s="4"/>
    </row>
    <row r="94" spans="1:19">
      <c r="A94" s="4"/>
      <c r="B94" s="4"/>
      <c r="C94" s="4"/>
      <c r="D94" s="4"/>
      <c r="E94" s="4"/>
      <c r="F94" s="4"/>
      <c r="G94" s="4"/>
      <c r="H94" s="4"/>
      <c r="I94" s="4"/>
      <c r="J94" s="4"/>
      <c r="K94" s="4"/>
      <c r="L94" s="4"/>
      <c r="M94" s="4"/>
      <c r="N94" s="4"/>
      <c r="O94" s="4"/>
      <c r="P94" s="4"/>
      <c r="Q94" s="4"/>
      <c r="R94" s="4"/>
      <c r="S94" s="4"/>
    </row>
    <row r="95" spans="1:19">
      <c r="A95" s="4"/>
      <c r="B95" s="4"/>
      <c r="C95" s="4"/>
      <c r="D95" s="4"/>
      <c r="E95" s="4"/>
      <c r="F95" s="4"/>
      <c r="G95" s="4"/>
      <c r="H95" s="4"/>
      <c r="I95" s="4"/>
      <c r="J95" s="4"/>
      <c r="K95" s="4"/>
      <c r="L95" s="4"/>
      <c r="M95" s="4"/>
      <c r="N95" s="4"/>
      <c r="O95" s="4"/>
      <c r="P95" s="4"/>
      <c r="Q95" s="4"/>
      <c r="R95" s="4"/>
      <c r="S95" s="4"/>
    </row>
    <row r="96" spans="1:19">
      <c r="A96" s="4"/>
      <c r="B96" s="4"/>
      <c r="C96" s="4"/>
      <c r="D96" s="4"/>
      <c r="E96" s="4"/>
      <c r="F96" s="4"/>
      <c r="G96" s="4"/>
      <c r="H96" s="4"/>
      <c r="I96" s="4"/>
      <c r="J96" s="4"/>
      <c r="K96" s="4"/>
      <c r="L96" s="4"/>
      <c r="M96" s="4"/>
      <c r="N96" s="4"/>
      <c r="O96" s="4"/>
      <c r="P96" s="4"/>
      <c r="Q96" s="4"/>
      <c r="R96" s="4"/>
      <c r="S96" s="4"/>
    </row>
    <row r="97" spans="1:19">
      <c r="A97" s="4"/>
      <c r="B97" s="4"/>
      <c r="C97" s="4"/>
      <c r="D97" s="4"/>
      <c r="E97" s="4"/>
      <c r="F97" s="4"/>
      <c r="G97" s="4"/>
      <c r="H97" s="4"/>
      <c r="I97" s="4"/>
      <c r="J97" s="4"/>
      <c r="K97" s="4"/>
      <c r="L97" s="4"/>
      <c r="M97" s="4"/>
      <c r="N97" s="4"/>
      <c r="O97" s="4"/>
      <c r="P97" s="4"/>
      <c r="Q97" s="4"/>
      <c r="R97" s="4"/>
      <c r="S97" s="4"/>
    </row>
    <row r="98" spans="1:19">
      <c r="A98" s="4"/>
      <c r="B98" s="4"/>
      <c r="C98" s="4"/>
      <c r="D98" s="4"/>
      <c r="E98" s="4"/>
      <c r="F98" s="4"/>
      <c r="G98" s="4"/>
      <c r="H98" s="4"/>
      <c r="I98" s="4"/>
      <c r="J98" s="4"/>
      <c r="K98" s="4"/>
      <c r="L98" s="4"/>
      <c r="M98" s="4"/>
      <c r="N98" s="4"/>
      <c r="O98" s="4"/>
      <c r="P98" s="4"/>
      <c r="Q98" s="4"/>
      <c r="R98" s="4"/>
      <c r="S98" s="4"/>
    </row>
    <row r="99" spans="1:19">
      <c r="A99" s="4"/>
      <c r="B99" s="4"/>
      <c r="C99" s="4"/>
      <c r="D99" s="4"/>
      <c r="E99" s="4"/>
      <c r="F99" s="4"/>
      <c r="G99" s="4"/>
      <c r="H99" s="4"/>
      <c r="I99" s="4"/>
      <c r="J99" s="4"/>
      <c r="K99" s="4"/>
      <c r="L99" s="4"/>
      <c r="M99" s="4"/>
      <c r="N99" s="4"/>
      <c r="O99" s="4"/>
      <c r="P99" s="4"/>
      <c r="Q99" s="4"/>
      <c r="R99" s="4"/>
      <c r="S99" s="4"/>
    </row>
    <row r="100" spans="1:19">
      <c r="A100" s="4"/>
      <c r="B100" s="4"/>
      <c r="C100" s="4"/>
      <c r="D100" s="4"/>
      <c r="E100" s="4"/>
      <c r="F100" s="4"/>
      <c r="G100" s="4"/>
      <c r="H100" s="4"/>
      <c r="I100" s="4"/>
      <c r="J100" s="4"/>
      <c r="K100" s="4"/>
      <c r="L100" s="4"/>
      <c r="M100" s="4"/>
      <c r="N100" s="4"/>
      <c r="O100" s="4"/>
      <c r="P100" s="4"/>
      <c r="Q100" s="4"/>
      <c r="R100" s="4"/>
      <c r="S100" s="4"/>
    </row>
    <row r="101" spans="1:19">
      <c r="A101" s="4"/>
      <c r="B101" s="4"/>
      <c r="C101" s="4"/>
      <c r="D101" s="4"/>
      <c r="E101" s="4"/>
      <c r="F101" s="4"/>
      <c r="G101" s="4"/>
      <c r="H101" s="4"/>
      <c r="I101" s="4"/>
      <c r="J101" s="4"/>
      <c r="K101" s="4"/>
      <c r="L101" s="4"/>
      <c r="M101" s="4"/>
      <c r="N101" s="4"/>
      <c r="O101" s="4"/>
      <c r="P101" s="4"/>
      <c r="Q101" s="4"/>
      <c r="R101" s="4"/>
      <c r="S101" s="4"/>
    </row>
    <row r="102" spans="1:19">
      <c r="A102" s="4"/>
      <c r="B102" s="4"/>
      <c r="C102" s="4"/>
      <c r="D102" s="4"/>
      <c r="E102" s="4"/>
      <c r="F102" s="4"/>
      <c r="G102" s="4"/>
      <c r="H102" s="4"/>
      <c r="I102" s="4"/>
      <c r="J102" s="4"/>
      <c r="K102" s="4"/>
      <c r="L102" s="4"/>
      <c r="M102" s="4"/>
      <c r="N102" s="4"/>
      <c r="O102" s="4"/>
      <c r="P102" s="4"/>
      <c r="Q102" s="4"/>
      <c r="R102" s="4"/>
      <c r="S102" s="4"/>
    </row>
    <row r="103" spans="1:19">
      <c r="A103" s="4"/>
      <c r="B103" s="4"/>
      <c r="C103" s="4"/>
      <c r="D103" s="4"/>
      <c r="E103" s="4"/>
      <c r="F103" s="4"/>
      <c r="G103" s="4"/>
      <c r="H103" s="4"/>
      <c r="I103" s="4"/>
      <c r="J103" s="4"/>
      <c r="K103" s="4"/>
      <c r="L103" s="4"/>
      <c r="M103" s="4"/>
      <c r="N103" s="4"/>
      <c r="O103" s="4"/>
      <c r="P103" s="4"/>
      <c r="Q103" s="4"/>
      <c r="R103" s="4"/>
      <c r="S103" s="4"/>
    </row>
    <row r="104" spans="1:19">
      <c r="A104" s="4"/>
      <c r="B104" s="4"/>
      <c r="C104" s="4"/>
      <c r="D104" s="4"/>
      <c r="E104" s="4"/>
      <c r="F104" s="4"/>
      <c r="G104" s="4"/>
      <c r="H104" s="4"/>
      <c r="I104" s="4"/>
      <c r="J104" s="4"/>
      <c r="K104" s="4"/>
      <c r="L104" s="4"/>
      <c r="M104" s="4"/>
      <c r="N104" s="4"/>
      <c r="O104" s="4"/>
      <c r="P104" s="4"/>
      <c r="Q104" s="4"/>
      <c r="R104" s="4"/>
      <c r="S104" s="4"/>
    </row>
    <row r="105" spans="1:19">
      <c r="A105" s="4"/>
      <c r="B105" s="4"/>
      <c r="C105" s="4"/>
      <c r="D105" s="4"/>
      <c r="E105" s="4"/>
      <c r="F105" s="4"/>
      <c r="G105" s="4"/>
      <c r="H105" s="4"/>
      <c r="I105" s="4"/>
      <c r="J105" s="4"/>
      <c r="K105" s="4"/>
      <c r="L105" s="4"/>
      <c r="M105" s="4"/>
      <c r="N105" s="4"/>
      <c r="O105" s="4"/>
      <c r="P105" s="4"/>
      <c r="Q105" s="4"/>
      <c r="R105" s="4"/>
      <c r="S105" s="4"/>
    </row>
    <row r="106" spans="1:19">
      <c r="A106" s="4"/>
      <c r="B106" s="4"/>
      <c r="C106" s="4"/>
      <c r="D106" s="4"/>
      <c r="E106" s="4"/>
      <c r="F106" s="4"/>
      <c r="G106" s="4"/>
      <c r="H106" s="4"/>
      <c r="I106" s="4"/>
      <c r="J106" s="4"/>
      <c r="K106" s="4"/>
      <c r="L106" s="4"/>
      <c r="M106" s="4"/>
      <c r="N106" s="4"/>
      <c r="O106" s="4"/>
      <c r="P106" s="4"/>
      <c r="Q106" s="4"/>
      <c r="R106" s="4"/>
      <c r="S106" s="4"/>
    </row>
    <row r="107" spans="1:19">
      <c r="A107" s="4"/>
      <c r="B107" s="4"/>
      <c r="C107" s="4"/>
      <c r="D107" s="4"/>
      <c r="E107" s="4"/>
      <c r="F107" s="4"/>
      <c r="G107" s="4"/>
      <c r="H107" s="4"/>
      <c r="I107" s="4"/>
      <c r="J107" s="4"/>
      <c r="K107" s="4"/>
      <c r="L107" s="4"/>
      <c r="M107" s="4"/>
      <c r="N107" s="4"/>
      <c r="O107" s="4"/>
      <c r="P107" s="4"/>
      <c r="Q107" s="4"/>
      <c r="R107" s="4"/>
      <c r="S107" s="4"/>
    </row>
    <row r="108" spans="1:19">
      <c r="A108" s="4"/>
      <c r="B108" s="4"/>
      <c r="C108" s="4"/>
      <c r="D108" s="4"/>
      <c r="E108" s="4"/>
      <c r="F108" s="4"/>
      <c r="G108" s="4"/>
      <c r="H108" s="4"/>
      <c r="I108" s="4"/>
      <c r="J108" s="4"/>
      <c r="K108" s="4"/>
      <c r="L108" s="4"/>
      <c r="M108" s="4"/>
      <c r="N108" s="4"/>
      <c r="O108" s="4"/>
      <c r="P108" s="4"/>
      <c r="Q108" s="4"/>
      <c r="R108" s="4"/>
      <c r="S108" s="4"/>
    </row>
    <row r="109" spans="1:19">
      <c r="A109" s="4"/>
      <c r="B109" s="4"/>
      <c r="C109" s="4"/>
      <c r="D109" s="4"/>
      <c r="E109" s="4"/>
      <c r="F109" s="4"/>
      <c r="G109" s="4"/>
      <c r="H109" s="4"/>
      <c r="I109" s="4"/>
      <c r="J109" s="4"/>
      <c r="K109" s="4"/>
      <c r="L109" s="4"/>
      <c r="M109" s="4"/>
      <c r="N109" s="4"/>
      <c r="O109" s="4"/>
      <c r="P109" s="4"/>
      <c r="Q109" s="4"/>
      <c r="R109" s="4"/>
      <c r="S109" s="4"/>
    </row>
    <row r="110" spans="1:19">
      <c r="A110" s="4"/>
      <c r="B110" s="4"/>
      <c r="C110" s="4"/>
      <c r="D110" s="4"/>
      <c r="E110" s="4"/>
      <c r="F110" s="4"/>
      <c r="G110" s="4"/>
      <c r="H110" s="4"/>
      <c r="I110" s="4"/>
      <c r="J110" s="4"/>
      <c r="K110" s="4"/>
      <c r="L110" s="4"/>
      <c r="M110" s="4"/>
      <c r="N110" s="4"/>
      <c r="O110" s="4"/>
      <c r="P110" s="4"/>
      <c r="Q110" s="4"/>
      <c r="R110" s="4"/>
      <c r="S110" s="4"/>
    </row>
    <row r="111" spans="1:19">
      <c r="A111" s="4"/>
      <c r="B111" s="4"/>
      <c r="C111" s="4"/>
      <c r="D111" s="4"/>
      <c r="E111" s="4"/>
      <c r="F111" s="4"/>
      <c r="G111" s="4"/>
      <c r="H111" s="4"/>
      <c r="I111" s="4"/>
      <c r="J111" s="4"/>
      <c r="K111" s="4"/>
      <c r="L111" s="4"/>
      <c r="M111" s="4"/>
      <c r="N111" s="4"/>
      <c r="O111" s="4"/>
      <c r="P111" s="4"/>
      <c r="Q111" s="4"/>
      <c r="R111" s="4"/>
      <c r="S111" s="4"/>
    </row>
    <row r="112" spans="1:19">
      <c r="A112" s="4"/>
      <c r="B112" s="4"/>
      <c r="C112" s="4"/>
      <c r="D112" s="4"/>
      <c r="E112" s="4"/>
      <c r="F112" s="4"/>
      <c r="G112" s="4"/>
      <c r="H112" s="4"/>
      <c r="I112" s="4"/>
      <c r="J112" s="4"/>
      <c r="K112" s="4"/>
      <c r="L112" s="4"/>
      <c r="M112" s="4"/>
      <c r="N112" s="4"/>
      <c r="O112" s="4"/>
      <c r="P112" s="4"/>
      <c r="Q112" s="4"/>
      <c r="R112" s="4"/>
      <c r="S112" s="4"/>
    </row>
    <row r="113" spans="1:19">
      <c r="A113" s="4"/>
      <c r="B113" s="4"/>
      <c r="C113" s="4"/>
      <c r="D113" s="4"/>
      <c r="E113" s="4"/>
      <c r="F113" s="4"/>
      <c r="G113" s="4"/>
      <c r="H113" s="4"/>
      <c r="I113" s="4"/>
      <c r="J113" s="4"/>
      <c r="K113" s="4"/>
      <c r="L113" s="4"/>
      <c r="M113" s="4"/>
      <c r="N113" s="4"/>
      <c r="O113" s="4"/>
      <c r="P113" s="4"/>
      <c r="Q113" s="4"/>
      <c r="R113" s="4"/>
      <c r="S113" s="4"/>
    </row>
    <row r="114" spans="1:19">
      <c r="P114" s="4"/>
      <c r="Q114" s="4"/>
      <c r="R114" s="4"/>
      <c r="S114" s="4"/>
    </row>
    <row r="115" spans="1:19">
      <c r="P115" s="4"/>
      <c r="Q115" s="4"/>
      <c r="R115" s="4"/>
      <c r="S115" s="4"/>
    </row>
    <row r="116" spans="1:19">
      <c r="P116" s="4"/>
      <c r="Q116" s="4"/>
      <c r="R116" s="4"/>
      <c r="S116" s="4"/>
    </row>
    <row r="117" spans="1:19">
      <c r="P117" s="4"/>
      <c r="Q117" s="4"/>
      <c r="R117" s="4"/>
      <c r="S117" s="4"/>
    </row>
    <row r="118" spans="1:19">
      <c r="P118" s="4"/>
      <c r="Q118" s="4"/>
      <c r="R118" s="4"/>
      <c r="S118" s="4"/>
    </row>
    <row r="119" spans="1:19">
      <c r="P119" s="4"/>
      <c r="Q119" s="4"/>
      <c r="R119" s="4"/>
      <c r="S119" s="4"/>
    </row>
    <row r="120" spans="1:19">
      <c r="P120" s="4"/>
      <c r="Q120" s="4"/>
      <c r="R120" s="4"/>
      <c r="S120" s="4"/>
    </row>
    <row r="121" spans="1:19">
      <c r="P121" s="4"/>
      <c r="Q121" s="4"/>
      <c r="R121" s="4"/>
      <c r="S121" s="4"/>
    </row>
    <row r="122" spans="1:19">
      <c r="P122" s="4"/>
      <c r="Q122" s="4"/>
      <c r="R122" s="4"/>
    </row>
    <row r="123" spans="1:19">
      <c r="P123" s="4"/>
      <c r="Q123" s="4"/>
      <c r="R123" s="4"/>
    </row>
    <row r="124" spans="1:19">
      <c r="P124" s="4"/>
      <c r="Q124" s="4"/>
      <c r="R124" s="4"/>
    </row>
    <row r="125" spans="1:19">
      <c r="P125" s="4"/>
      <c r="Q125" s="4"/>
      <c r="R125" s="4"/>
    </row>
    <row r="126" spans="1:19">
      <c r="P126" s="4"/>
      <c r="Q126" s="4"/>
      <c r="R126" s="4"/>
    </row>
    <row r="127" spans="1:19">
      <c r="P127" s="4"/>
      <c r="Q127" s="4"/>
      <c r="R127" s="4"/>
    </row>
    <row r="128" spans="1:19">
      <c r="P128" s="4"/>
      <c r="Q128" s="4"/>
      <c r="R128" s="4"/>
    </row>
  </sheetData>
  <sheetProtection sheet="1"/>
  <sortState xmlns:xlrd2="http://schemas.microsoft.com/office/spreadsheetml/2017/richdata2" ref="D45:M50">
    <sortCondition ref="D44:D50"/>
  </sortState>
  <mergeCells count="3">
    <mergeCell ref="F5:H5"/>
    <mergeCell ref="P23:Q23"/>
    <mergeCell ref="D2:E2"/>
  </mergeCells>
  <conditionalFormatting sqref="B42:N42 B52">
    <cfRule type="colorScale" priority="129">
      <colorScale>
        <cfvo type="min"/>
        <cfvo type="percentile" val="50"/>
        <cfvo type="max"/>
        <color rgb="FF63BE7B"/>
        <color rgb="FFFFEB84"/>
        <color rgb="FFF8696B"/>
      </colorScale>
    </cfRule>
  </conditionalFormatting>
  <conditionalFormatting sqref="C44:C50">
    <cfRule type="colorScale" priority="8">
      <colorScale>
        <cfvo type="min"/>
        <cfvo type="percentile" val="50"/>
        <cfvo type="max"/>
        <color rgb="FF63BE7B"/>
        <color rgb="FFFFEB84"/>
        <color rgb="FFF8696B"/>
      </colorScale>
    </cfRule>
  </conditionalFormatting>
  <conditionalFormatting sqref="C44:J50 L44:L50">
    <cfRule type="colorScale" priority="123">
      <colorScale>
        <cfvo type="min"/>
        <cfvo type="percentile" val="50"/>
        <cfvo type="max"/>
        <color rgb="FF63BE7B"/>
        <color rgb="FFFFEB84"/>
        <color rgb="FFF8696B"/>
      </colorScale>
    </cfRule>
  </conditionalFormatting>
  <conditionalFormatting sqref="C44:J50 L44:N50">
    <cfRule type="colorScale" priority="126">
      <colorScale>
        <cfvo type="min"/>
        <cfvo type="percentile" val="50"/>
        <cfvo type="max"/>
        <color rgb="FF63BE7B"/>
        <color rgb="FFFFEB84"/>
        <color rgb="FFF8696B"/>
      </colorScale>
    </cfRule>
  </conditionalFormatting>
  <conditionalFormatting sqref="D44:D50">
    <cfRule type="colorScale" priority="10">
      <colorScale>
        <cfvo type="min"/>
        <cfvo type="percentile" val="50"/>
        <cfvo type="max"/>
        <color rgb="FF63BE7B"/>
        <color rgb="FFFFEB84"/>
        <color rgb="FFF8696B"/>
      </colorScale>
    </cfRule>
  </conditionalFormatting>
  <conditionalFormatting sqref="D44:E50">
    <cfRule type="colorScale" priority="73">
      <colorScale>
        <cfvo type="min"/>
        <cfvo type="percentile" val="50"/>
        <cfvo type="max"/>
        <color rgb="FF63BE7B"/>
        <color rgb="FFFFEB84"/>
        <color rgb="FFF8696B"/>
      </colorScale>
    </cfRule>
  </conditionalFormatting>
  <conditionalFormatting sqref="E44:E50">
    <cfRule type="colorScale" priority="9">
      <colorScale>
        <cfvo type="min"/>
        <cfvo type="percentile" val="50"/>
        <cfvo type="max"/>
        <color rgb="FF63BE7B"/>
        <color rgb="FFFFEB84"/>
        <color rgb="FFF8696B"/>
      </colorScale>
    </cfRule>
  </conditionalFormatting>
  <conditionalFormatting sqref="F44:F50">
    <cfRule type="colorScale" priority="25">
      <colorScale>
        <cfvo type="min"/>
        <cfvo type="percentile" val="50"/>
        <cfvo type="max"/>
        <color rgb="FF63BE7B"/>
        <color rgb="FFFFEB84"/>
        <color rgb="FFF8696B"/>
      </colorScale>
    </cfRule>
  </conditionalFormatting>
  <conditionalFormatting sqref="G44:G50 L44:L50">
    <cfRule type="colorScale" priority="64">
      <colorScale>
        <cfvo type="min"/>
        <cfvo type="percentile" val="50"/>
        <cfvo type="max"/>
        <color rgb="FF63BE7B"/>
        <color rgb="FFFFEB84"/>
        <color rgb="FFF8696B"/>
      </colorScale>
    </cfRule>
  </conditionalFormatting>
  <conditionalFormatting sqref="G44:G50">
    <cfRule type="colorScale" priority="7">
      <colorScale>
        <cfvo type="min"/>
        <cfvo type="percentile" val="50"/>
        <cfvo type="max"/>
        <color rgb="FF63BE7B"/>
        <color rgb="FFFFEB84"/>
        <color rgb="FFF8696B"/>
      </colorScale>
    </cfRule>
  </conditionalFormatting>
  <conditionalFormatting sqref="H44:H50">
    <cfRule type="colorScale" priority="14">
      <colorScale>
        <cfvo type="min"/>
        <cfvo type="percentile" val="50"/>
        <cfvo type="max"/>
        <color rgb="FF63BE7B"/>
        <color rgb="FFFFEB84"/>
        <color rgb="FFF8696B"/>
      </colorScale>
    </cfRule>
  </conditionalFormatting>
  <conditionalFormatting sqref="I44:I50">
    <cfRule type="colorScale" priority="24">
      <colorScale>
        <cfvo type="min"/>
        <cfvo type="percentile" val="50"/>
        <cfvo type="max"/>
        <color rgb="FF63BE7B"/>
        <color rgb="FFFFEB84"/>
        <color rgb="FFF8696B"/>
      </colorScale>
    </cfRule>
  </conditionalFormatting>
  <conditionalFormatting sqref="J44:J50 H44:H50">
    <cfRule type="colorScale" priority="130">
      <colorScale>
        <cfvo type="min"/>
        <cfvo type="percentile" val="50"/>
        <cfvo type="max"/>
        <color rgb="FF63BE7B"/>
        <color rgb="FFFFEB84"/>
        <color rgb="FFF8696B"/>
      </colorScale>
    </cfRule>
  </conditionalFormatting>
  <conditionalFormatting sqref="J44:J50">
    <cfRule type="colorScale" priority="15">
      <colorScale>
        <cfvo type="min"/>
        <cfvo type="percentile" val="50"/>
        <cfvo type="max"/>
        <color rgb="FF63BE7B"/>
        <color rgb="FFFFEB84"/>
        <color rgb="FFF8696B"/>
      </colorScale>
    </cfRule>
  </conditionalFormatting>
  <conditionalFormatting sqref="K44:K50">
    <cfRule type="colorScale" priority="2">
      <colorScale>
        <cfvo type="min"/>
        <cfvo type="percentile" val="50"/>
        <cfvo type="max"/>
        <color rgb="FF63BE7B"/>
        <color rgb="FFFFEB84"/>
        <color rgb="FFF8696B"/>
      </colorScale>
    </cfRule>
  </conditionalFormatting>
  <conditionalFormatting sqref="L44:L50">
    <cfRule type="colorScale" priority="6">
      <colorScale>
        <cfvo type="min"/>
        <cfvo type="percentile" val="50"/>
        <cfvo type="max"/>
        <color rgb="FF63BE7B"/>
        <color rgb="FFFFEB84"/>
        <color rgb="FFF8696B"/>
      </colorScale>
    </cfRule>
  </conditionalFormatting>
  <conditionalFormatting sqref="M44:N50">
    <cfRule type="colorScale" priority="4">
      <colorScale>
        <cfvo type="min"/>
        <cfvo type="percentile" val="50"/>
        <cfvo type="max"/>
        <color rgb="FF63BE7B"/>
        <color rgb="FFFFEB84"/>
        <color rgb="FFF8696B"/>
      </colorScale>
    </cfRule>
  </conditionalFormatting>
  <hyperlinks>
    <hyperlink ref="D2" r:id="rId1" xr:uid="{550CC34F-C151-6D43-A9D3-1984AE091F02}"/>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zoomScale="110" zoomScaleNormal="110" workbookViewId="0">
      <pane xSplit="2" topLeftCell="D1" activePane="topRight" state="frozen"/>
      <selection pane="topRight" activeCell="G26" sqref="G26"/>
    </sheetView>
  </sheetViews>
  <sheetFormatPr defaultColWidth="14.5" defaultRowHeight="15.75"/>
  <cols>
    <col min="1" max="1" width="27.25" style="13" bestFit="1" customWidth="1"/>
    <col min="2" max="2" width="19" style="13" bestFit="1" customWidth="1"/>
    <col min="15" max="15" width="16.25" customWidth="1"/>
  </cols>
  <sheetData>
    <row r="1" spans="1:15" s="11" customFormat="1" ht="45.6" customHeight="1">
      <c r="A1" s="12" t="s">
        <v>0</v>
      </c>
      <c r="B1" s="12" t="s">
        <v>1</v>
      </c>
      <c r="C1" s="11" t="s">
        <v>72</v>
      </c>
      <c r="D1" s="11" t="s">
        <v>12</v>
      </c>
      <c r="E1" s="11" t="s">
        <v>5</v>
      </c>
      <c r="F1" s="11" t="s">
        <v>73</v>
      </c>
      <c r="G1" s="11" t="s">
        <v>11</v>
      </c>
      <c r="H1" s="11" t="s">
        <v>74</v>
      </c>
      <c r="I1" s="11" t="s">
        <v>76</v>
      </c>
      <c r="J1" s="11" t="s">
        <v>77</v>
      </c>
      <c r="K1" s="11" t="s">
        <v>78</v>
      </c>
      <c r="L1" s="11" t="s">
        <v>79</v>
      </c>
      <c r="M1" s="11" t="s">
        <v>80</v>
      </c>
      <c r="N1" s="11" t="s">
        <v>81</v>
      </c>
      <c r="O1" s="11" t="s">
        <v>75</v>
      </c>
    </row>
    <row r="2" spans="1:15">
      <c r="A2" s="17" t="str">
        <f>'TCO beregning'!C$10</f>
        <v>Minigraver diesel</v>
      </c>
      <c r="B2" s="13" t="str">
        <f>'TCO beregning'!C$11</f>
        <v>1,8 ton diesel</v>
      </c>
      <c r="C2" s="2">
        <f>D2*1.25</f>
        <v>261750</v>
      </c>
      <c r="D2" s="2">
        <f>'TCO beregning'!C17</f>
        <v>209400</v>
      </c>
      <c r="F2" s="3">
        <f>'TCO beregning'!$C$19</f>
        <v>0</v>
      </c>
      <c r="G2" s="3">
        <f>'TCO beregning'!$C$20</f>
        <v>0</v>
      </c>
      <c r="H2" s="3">
        <f>(D2+F2)*$H$16+G2*20%</f>
        <v>136110</v>
      </c>
      <c r="I2" s="3">
        <f>(D2+F2)*$I$16+G2*20%</f>
        <v>115170.00000000001</v>
      </c>
      <c r="J2" s="3">
        <f>(D2+F2)*$J$16+G2*20%</f>
        <v>94230</v>
      </c>
      <c r="K2" s="3">
        <f>(D2+F2)*$K$16+G2*10%</f>
        <v>73290</v>
      </c>
      <c r="L2" s="3">
        <f>(D2+F2)*$L$16+G2*5%</f>
        <v>52350</v>
      </c>
      <c r="M2" s="3">
        <f>(D2+F2)*$M$16</f>
        <v>31410.000000000004</v>
      </c>
      <c r="N2" s="3">
        <f>(D2+F2)*$N$16</f>
        <v>10470.000000000009</v>
      </c>
      <c r="O2" s="226">
        <f>(('TCO beregning'!C14*'TCO beregning'!C2)*'TCO beregning'!C4)*21</f>
        <v>3696</v>
      </c>
    </row>
    <row r="3" spans="1:15">
      <c r="A3" s="18" t="str">
        <f>'TCO beregning'!D$10</f>
        <v>Minigraver batteri</v>
      </c>
      <c r="B3" s="13" t="str">
        <f>'TCO beregning'!D$11</f>
        <v>1,8 ton batteri</v>
      </c>
      <c r="C3" s="2">
        <f>D3*1.25</f>
        <v>486750</v>
      </c>
      <c r="D3" s="2">
        <f>'TCO beregning'!D17</f>
        <v>389400</v>
      </c>
      <c r="E3">
        <f>'TCO beregning'!D12</f>
        <v>16</v>
      </c>
      <c r="F3" s="3">
        <f>'TCO beregning'!$D$19</f>
        <v>0</v>
      </c>
      <c r="G3" s="3">
        <f>'TCO beregning'!$D$20</f>
        <v>0</v>
      </c>
      <c r="H3" s="3">
        <f>(D3+F3)*$H$15+G3*20%</f>
        <v>292050</v>
      </c>
      <c r="I3" s="3">
        <f>(D3+F3)*$I$15+G3*20%</f>
        <v>253110</v>
      </c>
      <c r="J3" s="3">
        <f>(D3+F3)*$J$15+G3*20%</f>
        <v>214170.00000000003</v>
      </c>
      <c r="K3" s="3">
        <f>(D3+F3)*$K$15+G3*10%</f>
        <v>175230</v>
      </c>
      <c r="L3" s="3">
        <f>(D3+F3)*$L$15+G3*5%</f>
        <v>136290</v>
      </c>
      <c r="M3" s="3">
        <f>(D3+F3)*$M$15</f>
        <v>97350</v>
      </c>
      <c r="N3" s="3">
        <f>(D3+F3)*$N$15</f>
        <v>38939.999999999993</v>
      </c>
      <c r="O3" s="226">
        <f>(('TCO beregning'!D14*'TCO beregning'!C3*'TCO beregning'!C4)*21)</f>
        <v>1814.4</v>
      </c>
    </row>
    <row r="4" spans="1:15">
      <c r="A4" s="17" t="str">
        <f>'TCO beregning'!E$10</f>
        <v>Lille maskine diesel</v>
      </c>
      <c r="B4" s="13" t="str">
        <f>'TCO beregning'!E$11</f>
        <v>6 ton diesel</v>
      </c>
      <c r="C4" s="2">
        <f>D4*1.25</f>
        <v>811000</v>
      </c>
      <c r="D4" s="2">
        <f>'TCO beregning'!E17</f>
        <v>648800</v>
      </c>
      <c r="F4" s="3">
        <f>'TCO beregning'!$E$19</f>
        <v>0</v>
      </c>
      <c r="G4" s="3">
        <f>'TCO beregning'!$E$20</f>
        <v>0</v>
      </c>
      <c r="H4" s="3">
        <f>(D4+F4)*$H$16+G4*20%</f>
        <v>421720</v>
      </c>
      <c r="I4" s="3">
        <f>(D4+F4)*$I$16+G4*20%</f>
        <v>356840</v>
      </c>
      <c r="J4" s="3">
        <f>(D4+F4)*$J$16+G4*20%</f>
        <v>291960</v>
      </c>
      <c r="K4" s="3">
        <f>(D4+F4)*$K$16+G4*10%</f>
        <v>227080.00000000003</v>
      </c>
      <c r="L4" s="3">
        <f>(D4+F4)*$L$16+G4*5%</f>
        <v>162200</v>
      </c>
      <c r="M4" s="3">
        <f>(D4+F4)*$M$16</f>
        <v>97320.000000000015</v>
      </c>
      <c r="N4" s="3">
        <f>(D4+F4)*$N$16</f>
        <v>32440.000000000029</v>
      </c>
      <c r="O4" s="226">
        <f>(('TCO beregning'!E14*'TCO beregning'!C2)*'TCO beregning'!C4)*21</f>
        <v>12936</v>
      </c>
    </row>
    <row r="5" spans="1:15">
      <c r="A5" s="18" t="str">
        <f>'TCO beregning'!F$10</f>
        <v>Lille maskine batteri</v>
      </c>
      <c r="B5" s="13" t="str">
        <f>'TCO beregning'!F$11</f>
        <v>5,5 ton batteri + kabel</v>
      </c>
      <c r="C5" s="2">
        <f>D5*1.25</f>
        <v>1875000</v>
      </c>
      <c r="D5" s="2">
        <f>'TCO beregning'!F17</f>
        <v>1500000</v>
      </c>
      <c r="E5">
        <f>'TCO beregning'!F12</f>
        <v>72</v>
      </c>
      <c r="F5" s="3">
        <f>'TCO beregning'!$F$19</f>
        <v>0</v>
      </c>
      <c r="G5" s="3">
        <f>'TCO beregning'!$F$20</f>
        <v>0</v>
      </c>
      <c r="H5" s="3">
        <f>(D5+F5)*$H$15+G5*20%</f>
        <v>1125000</v>
      </c>
      <c r="I5" s="3">
        <f>(D5+F5)*$I$15+G5*20%</f>
        <v>975000</v>
      </c>
      <c r="J5" s="3">
        <f>(D5+F5)*$J$15+G5*20%</f>
        <v>825000.00000000012</v>
      </c>
      <c r="K5" s="3">
        <f>(D5+F5)*$K$15+G5*10%</f>
        <v>675000</v>
      </c>
      <c r="L5" s="3">
        <f>(D5+F5)*$L$15+G5*5%</f>
        <v>525000</v>
      </c>
      <c r="M5" s="3">
        <f>(D5+F5)*$M$15</f>
        <v>375000</v>
      </c>
      <c r="N5" s="3">
        <f>(D5+F5)*$N$15</f>
        <v>149999.99999999997</v>
      </c>
      <c r="O5" s="226">
        <f>(('TCO beregning'!F14*'TCO beregning'!C3*'TCO beregning'!C4)*21)</f>
        <v>3628.8</v>
      </c>
    </row>
    <row r="6" spans="1:15">
      <c r="A6" s="17" t="str">
        <f>'TCO beregning'!G$10</f>
        <v>Mellem maskine diesel</v>
      </c>
      <c r="B6" s="13" t="str">
        <f>'TCO beregning'!G$11</f>
        <v>15 ton diesel</v>
      </c>
      <c r="C6" s="2">
        <f>D6*1.25</f>
        <v>1500000</v>
      </c>
      <c r="D6" s="2">
        <f>'TCO beregning'!G17</f>
        <v>1200000</v>
      </c>
      <c r="F6" s="3">
        <f>'TCO beregning'!$G$19</f>
        <v>0</v>
      </c>
      <c r="G6" s="3">
        <f>'TCO beregning'!$G$20</f>
        <v>0</v>
      </c>
      <c r="H6" s="3">
        <f>(D6+F6)*$H$16+G6*20%</f>
        <v>780000</v>
      </c>
      <c r="I6" s="3">
        <f>(D6+F6)*$I$16+G6*20%</f>
        <v>660000</v>
      </c>
      <c r="J6" s="3">
        <f>(D6+F6)*$J$16+G6*20%</f>
        <v>540000</v>
      </c>
      <c r="K6" s="3">
        <f>(D6+F6)*$K$16+G6*10%</f>
        <v>420000.00000000006</v>
      </c>
      <c r="L6" s="3">
        <f>(D6+F6)*$L$16+G6*5%</f>
        <v>300000</v>
      </c>
      <c r="M6" s="3">
        <f>(D6+F6)*$M$16</f>
        <v>180000.00000000003</v>
      </c>
      <c r="N6" s="3">
        <f>(D6+F6)*$N$16</f>
        <v>60000.000000000051</v>
      </c>
      <c r="O6" s="226">
        <f>(('TCO beregning'!G14*'TCO beregning'!C2)*'TCO beregning'!C4)*21</f>
        <v>22176</v>
      </c>
    </row>
    <row r="7" spans="1:15">
      <c r="A7" s="18" t="str">
        <f>'TCO beregning'!H$10</f>
        <v>Mellem maskine batteri</v>
      </c>
      <c r="B7" s="13" t="str">
        <f>'TCO beregning'!H$11</f>
        <v>15 ton batteri + kabel</v>
      </c>
      <c r="C7" s="2">
        <f t="shared" ref="C7:C13" si="0">D7*1.25</f>
        <v>4331250</v>
      </c>
      <c r="D7" s="2">
        <f>'TCO beregning'!H17</f>
        <v>3465000</v>
      </c>
      <c r="E7">
        <f>'TCO beregning'!H12</f>
        <v>51.5</v>
      </c>
      <c r="F7" s="3">
        <f>'TCO beregning'!$H$19</f>
        <v>0</v>
      </c>
      <c r="G7" s="3">
        <f>'TCO beregning'!$H$20</f>
        <v>0</v>
      </c>
      <c r="H7" s="3">
        <f>(D7+F7)*$H$15+G7*20%</f>
        <v>2598750</v>
      </c>
      <c r="I7" s="3">
        <f>(D7+F7)*$I$15+G7*20%</f>
        <v>2252250</v>
      </c>
      <c r="J7" s="3">
        <f>(D7+F7)*$J$15+G7*20%</f>
        <v>1905750.0000000002</v>
      </c>
      <c r="K7" s="3">
        <f>(D7+F7)*$K$15+G7*10%</f>
        <v>1559250</v>
      </c>
      <c r="L7" s="3">
        <f>(D7+F7)*$L$15+G7*5%</f>
        <v>1212750</v>
      </c>
      <c r="M7" s="3">
        <f>(D7+F7)*$M$15</f>
        <v>866250</v>
      </c>
      <c r="N7" s="3">
        <f>(D7+F7)*$N$15</f>
        <v>346499.99999999994</v>
      </c>
      <c r="O7" s="226">
        <f>(('TCO beregning'!H14*'TCO beregning'!C3*'TCO beregning'!C4)*21)</f>
        <v>6652.8</v>
      </c>
    </row>
    <row r="8" spans="1:15">
      <c r="A8" s="17" t="str">
        <f>'TCO beregning'!I$10</f>
        <v>Stor maskine diesel</v>
      </c>
      <c r="B8" s="13" t="str">
        <f>'TCO beregning'!I$11</f>
        <v>23 ton diesel</v>
      </c>
      <c r="C8" s="2">
        <f>D8*1.25</f>
        <v>2800000</v>
      </c>
      <c r="D8" s="2">
        <f>'TCO beregning'!I17</f>
        <v>2240000</v>
      </c>
      <c r="F8" s="3">
        <f>'TCO beregning'!$I$19</f>
        <v>0</v>
      </c>
      <c r="G8" s="3">
        <f>'TCO beregning'!$I$20</f>
        <v>0</v>
      </c>
      <c r="H8" s="3">
        <f>($D$8+$F$8)*H16+$G$8*20%</f>
        <v>1456000</v>
      </c>
      <c r="I8" s="3">
        <f>($D$8+$F$8)*I16+$G$8*20%</f>
        <v>1232000</v>
      </c>
      <c r="J8" s="3">
        <f>($D$8+$F$8)*J16+$G$8*20%</f>
        <v>1008000</v>
      </c>
      <c r="K8" s="3">
        <f>($D$8+$F$8)*K16+$G$8*10%</f>
        <v>784000.00000000012</v>
      </c>
      <c r="L8" s="3">
        <f>($D$8+$F$8)*L16+$G$8*5%</f>
        <v>560000</v>
      </c>
      <c r="M8" s="3">
        <f>($D$8+$F$8)*M16</f>
        <v>336000.00000000006</v>
      </c>
      <c r="N8" s="3">
        <f>($D$8+$F$8)*N16</f>
        <v>112000.0000000001</v>
      </c>
      <c r="O8" s="226">
        <f>(('TCO beregning'!I14*'TCO beregning'!C2)*'TCO beregning'!C4)*21</f>
        <v>27720</v>
      </c>
    </row>
    <row r="9" spans="1:15">
      <c r="A9" s="18" t="str">
        <f>'TCO beregning'!J$10</f>
        <v>Stor maskine batteri</v>
      </c>
      <c r="B9" s="13" t="str">
        <f>'TCO beregning'!J$11</f>
        <v>23 ton batteri + kabel</v>
      </c>
      <c r="C9" s="2">
        <f>D9*1.25</f>
        <v>5527500</v>
      </c>
      <c r="D9" s="2">
        <f>'TCO beregning'!J17</f>
        <v>4422000</v>
      </c>
      <c r="E9">
        <f>'TCO beregning'!J12</f>
        <v>300</v>
      </c>
      <c r="F9" s="3">
        <f>'TCO beregning'!$J$19</f>
        <v>0</v>
      </c>
      <c r="G9" s="3">
        <f>'TCO beregning'!$J$20</f>
        <v>0</v>
      </c>
      <c r="H9" s="3">
        <f>($D$9+$F$9)*H15+$G$9*20%</f>
        <v>3316500</v>
      </c>
      <c r="I9" s="3">
        <f>($D$9+$F$9)*I15+$G$9*20%</f>
        <v>2874300</v>
      </c>
      <c r="J9" s="3">
        <f>($D$9+$F$9)*J15+$G$9*20%</f>
        <v>2432100</v>
      </c>
      <c r="K9" s="3">
        <f>($D$9+$F$9)*K15+$G$9*10%</f>
        <v>1989900</v>
      </c>
      <c r="L9" s="3">
        <f>($D$9+$F$9)*L15+$G$9*5%</f>
        <v>1547700</v>
      </c>
      <c r="M9" s="3">
        <f>($D$9+$F$9)*M15</f>
        <v>1105500</v>
      </c>
      <c r="N9" s="3">
        <f>($D$9+$F$9)*N15</f>
        <v>442199.99999999988</v>
      </c>
      <c r="O9" s="226">
        <f>(('TCO beregning'!J14*'TCO beregning'!C3*'TCO beregning'!C4)*21)</f>
        <v>7257.6</v>
      </c>
    </row>
    <row r="10" spans="1:15">
      <c r="A10" s="17" t="str">
        <f>'TCO beregning'!K$10</f>
        <v>Mega maskine diesel</v>
      </c>
      <c r="B10" s="13" t="str">
        <f>'TCO beregning'!K$11</f>
        <v>40 ton diesel</v>
      </c>
      <c r="C10" s="2">
        <f>D10*1.25</f>
        <v>3000000</v>
      </c>
      <c r="D10" s="2">
        <f>'TCO beregning'!K17</f>
        <v>2400000</v>
      </c>
      <c r="F10" s="3">
        <f>'TCO beregning'!$K$19</f>
        <v>0</v>
      </c>
      <c r="G10" s="3">
        <f>'TCO beregning'!$K$20</f>
        <v>0</v>
      </c>
      <c r="H10" s="3">
        <f>(D10+F10)*$H$16+G10*20%</f>
        <v>1560000</v>
      </c>
      <c r="I10" s="3">
        <f>(D10+F10)*$I$16+G10*20%</f>
        <v>1320000</v>
      </c>
      <c r="J10" s="3">
        <f>(D10+F10)*$J$16+G10*20%</f>
        <v>1080000</v>
      </c>
      <c r="K10" s="3">
        <f>(D10+F10)*$K$16+G10*10%</f>
        <v>840000.00000000012</v>
      </c>
      <c r="L10" s="3">
        <f>(D10+F10)*$L$16+G10*5%</f>
        <v>600000</v>
      </c>
      <c r="M10" s="3">
        <f>(D10+F10)*$M$16</f>
        <v>360000.00000000006</v>
      </c>
      <c r="N10" s="3">
        <f>(D10+F10)*$N$16</f>
        <v>120000.0000000001</v>
      </c>
      <c r="O10" s="226">
        <f>(('TCO beregning'!K14*'TCO beregning'!C2)*'TCO beregning'!C4)*21</f>
        <v>40656</v>
      </c>
    </row>
    <row r="11" spans="1:15">
      <c r="A11" s="18" t="str">
        <f>'TCO beregning'!L$10</f>
        <v>Mega maskine kabel</v>
      </c>
      <c r="B11" s="13" t="str">
        <f>'TCO beregning'!L$11</f>
        <v>40 ton kabel</v>
      </c>
      <c r="C11" s="2">
        <f t="shared" si="0"/>
        <v>4961250</v>
      </c>
      <c r="D11" s="2">
        <f>'TCO beregning'!L17</f>
        <v>3969000</v>
      </c>
      <c r="E11">
        <f>'TCO beregning'!L12</f>
        <v>0</v>
      </c>
      <c r="F11" s="3">
        <f>'TCO beregning'!$L$19</f>
        <v>0</v>
      </c>
      <c r="G11" s="3">
        <f>'TCO beregning'!$L$20</f>
        <v>0</v>
      </c>
      <c r="H11" s="3">
        <f>($D$11+$F$11)*H15+$G$11*20%</f>
        <v>2976750</v>
      </c>
      <c r="I11" s="3">
        <f>($D$11+$F$11)*I15+$G$11*20%</f>
        <v>2579850</v>
      </c>
      <c r="J11" s="3">
        <f>($D$11+$F$11)*J15+$G$11*20%</f>
        <v>2182950</v>
      </c>
      <c r="K11" s="3">
        <f>($D$11+$F$11)*K15+$G$11*10%</f>
        <v>1786050</v>
      </c>
      <c r="L11" s="3">
        <f>($D$11+$F$11)*L15+$G$11*5%</f>
        <v>1389150</v>
      </c>
      <c r="M11" s="3">
        <f>($D$11+$F$11)*M15</f>
        <v>992250</v>
      </c>
      <c r="N11" s="3">
        <f>($D$11+$F$11)*N15</f>
        <v>396899.99999999988</v>
      </c>
      <c r="O11" s="226">
        <f>(('TCO beregning'!L14*'TCO beregning'!C3*'TCO beregning'!C4)*21)</f>
        <v>12700.800000000001</v>
      </c>
    </row>
    <row r="12" spans="1:15">
      <c r="A12" s="17" t="str">
        <f>'TCO beregning'!M10</f>
        <v>Mærke diesel</v>
      </c>
      <c r="B12" s="13" t="str">
        <f>'TCO beregning'!M11</f>
        <v>Model</v>
      </c>
      <c r="C12" s="2">
        <f t="shared" si="0"/>
        <v>0</v>
      </c>
      <c r="D12" s="2">
        <f>'TCO beregning'!M17</f>
        <v>0</v>
      </c>
      <c r="F12" s="3">
        <f>'TCO beregning'!$M$19</f>
        <v>0</v>
      </c>
      <c r="G12" s="3">
        <f>'TCO beregning'!$M$20</f>
        <v>0</v>
      </c>
      <c r="H12" s="3">
        <f>(D12+F12)*$H$16+G12*20%</f>
        <v>0</v>
      </c>
      <c r="I12" s="3">
        <f>(D12+F12)*$I$16+G12*20%</f>
        <v>0</v>
      </c>
      <c r="J12" s="3">
        <f>(D12+F12)*$J$16+G12*20%</f>
        <v>0</v>
      </c>
      <c r="K12" s="3">
        <f>(D12+F12)*$K$16+G12*10%</f>
        <v>0</v>
      </c>
      <c r="L12" s="3">
        <f>(D12+F12)*$L$16+G12*5%</f>
        <v>0</v>
      </c>
      <c r="M12" s="3">
        <f>(D12+F12)*$M$16</f>
        <v>0</v>
      </c>
      <c r="N12" s="3">
        <f>(D12+F12)*$N$16</f>
        <v>0</v>
      </c>
      <c r="O12" s="1">
        <f>(('TCO beregning'!M14*'TCO beregning'!C2)*'TCO beregning'!C4)*21</f>
        <v>0</v>
      </c>
    </row>
    <row r="13" spans="1:15">
      <c r="A13" s="18" t="str">
        <f>'TCO beregning'!N10</f>
        <v>Mærke batteri/kabel</v>
      </c>
      <c r="B13" s="13" t="str">
        <f>'TCO beregning'!N11</f>
        <v>Model</v>
      </c>
      <c r="C13" s="2">
        <f t="shared" si="0"/>
        <v>0</v>
      </c>
      <c r="D13" s="2">
        <f>'TCO beregning'!N17</f>
        <v>0</v>
      </c>
      <c r="E13">
        <f>'TCO beregning'!N12</f>
        <v>0</v>
      </c>
      <c r="F13" s="3">
        <f>'TCO beregning'!$N$19</f>
        <v>0</v>
      </c>
      <c r="G13" s="3">
        <f>'TCO beregning'!$N$20</f>
        <v>0</v>
      </c>
      <c r="H13" s="3">
        <f>(D13+F13)*$H$15+G13*20%</f>
        <v>0</v>
      </c>
      <c r="I13" s="3">
        <f>(D13+F13)*$I$15+G13*20%</f>
        <v>0</v>
      </c>
      <c r="J13" s="3">
        <f>(D13+F13)*$J$15+G13*20%</f>
        <v>0</v>
      </c>
      <c r="K13" s="3">
        <f>(D13+F13)*$K$15+G13*10%</f>
        <v>0</v>
      </c>
      <c r="L13" s="3">
        <f>(D13+F13)*$L$15+G13*5%</f>
        <v>0</v>
      </c>
      <c r="M13" s="3">
        <f>(D13+F13)*$M$15</f>
        <v>0</v>
      </c>
      <c r="N13" s="3">
        <f>(D13+F13)*$N$15</f>
        <v>0</v>
      </c>
      <c r="O13" s="1">
        <f>(('TCO beregning'!N14*'TCO beregning'!C3*'TCO beregning'!C4)*21)</f>
        <v>0</v>
      </c>
    </row>
    <row r="14" spans="1:15">
      <c r="C14" s="2"/>
      <c r="D14" s="2"/>
      <c r="H14" s="3"/>
      <c r="I14" s="3"/>
      <c r="J14" s="3"/>
      <c r="K14" s="3"/>
      <c r="L14" s="3"/>
      <c r="M14" s="3"/>
      <c r="N14" s="3"/>
      <c r="O14" s="1"/>
    </row>
    <row r="15" spans="1:15">
      <c r="A15" s="19" t="s">
        <v>89</v>
      </c>
      <c r="B15" s="14"/>
      <c r="C15" s="7"/>
      <c r="D15" s="7"/>
      <c r="E15" s="7"/>
      <c r="F15" s="7"/>
      <c r="G15" s="7"/>
      <c r="H15" s="240">
        <f>'TCO beregning'!C7</f>
        <v>0.75</v>
      </c>
      <c r="I15" s="240">
        <f>H15-10%</f>
        <v>0.65</v>
      </c>
      <c r="J15" s="240">
        <f>H15-20%</f>
        <v>0.55000000000000004</v>
      </c>
      <c r="K15" s="240">
        <f>H15-30%</f>
        <v>0.45</v>
      </c>
      <c r="L15" s="240">
        <f>H15-40%</f>
        <v>0.35</v>
      </c>
      <c r="M15" s="240">
        <f>H15-50%</f>
        <v>0.25</v>
      </c>
      <c r="N15" s="240">
        <f>H15-65%</f>
        <v>9.9999999999999978E-2</v>
      </c>
      <c r="O15" s="7"/>
    </row>
    <row r="16" spans="1:15">
      <c r="A16" s="15" t="s">
        <v>90</v>
      </c>
      <c r="B16" s="15"/>
      <c r="C16" s="8"/>
      <c r="D16" s="8"/>
      <c r="E16" s="8"/>
      <c r="F16" s="8"/>
      <c r="G16" s="8"/>
      <c r="H16" s="241">
        <f>H15-10%</f>
        <v>0.65</v>
      </c>
      <c r="I16" s="241">
        <f>H16-10%</f>
        <v>0.55000000000000004</v>
      </c>
      <c r="J16" s="241">
        <f>H16-20%</f>
        <v>0.45</v>
      </c>
      <c r="K16" s="241">
        <f>H16-30%</f>
        <v>0.35000000000000003</v>
      </c>
      <c r="L16" s="241">
        <f>H16-40%</f>
        <v>0.25</v>
      </c>
      <c r="M16" s="241">
        <f>H16-50%</f>
        <v>0.15000000000000002</v>
      </c>
      <c r="N16" s="241">
        <f>H16-60%</f>
        <v>5.0000000000000044E-2</v>
      </c>
      <c r="O16" s="8"/>
    </row>
    <row r="19" spans="2:14">
      <c r="C19" s="6"/>
      <c r="D19" s="6"/>
      <c r="E19" s="6"/>
    </row>
    <row r="20" spans="2:14">
      <c r="B20" s="16"/>
      <c r="C20" s="9"/>
      <c r="D20" s="9"/>
      <c r="E20" s="9"/>
    </row>
    <row r="21" spans="2:14">
      <c r="B21" s="16"/>
      <c r="C21" s="9"/>
      <c r="D21" s="9"/>
      <c r="E21" s="9"/>
    </row>
    <row r="22" spans="2:14">
      <c r="B22" s="16"/>
      <c r="C22" s="9"/>
      <c r="D22" s="9"/>
      <c r="E22" s="9"/>
    </row>
    <row r="23" spans="2:14">
      <c r="B23" s="16"/>
      <c r="C23" s="9"/>
      <c r="D23" s="9"/>
      <c r="E23" s="9"/>
    </row>
    <row r="24" spans="2:14">
      <c r="B24" s="16"/>
      <c r="C24" s="9"/>
      <c r="D24" s="9"/>
      <c r="E24" s="9"/>
    </row>
    <row r="25" spans="2:14">
      <c r="B25" s="16"/>
      <c r="C25" s="9"/>
      <c r="D25" s="9"/>
    </row>
    <row r="26" spans="2:14">
      <c r="B26" s="16"/>
      <c r="C26" s="9"/>
      <c r="D26" s="9"/>
    </row>
    <row r="27" spans="2:14">
      <c r="D27" s="10"/>
    </row>
    <row r="28" spans="2:14">
      <c r="D28" s="10"/>
      <c r="N28" s="3">
        <f>'TCO beregning'!$L$19</f>
        <v>0</v>
      </c>
    </row>
    <row r="29" spans="2:14">
      <c r="D29" s="10"/>
      <c r="N29" s="3">
        <f>'TCO beregning'!$L$20</f>
        <v>0</v>
      </c>
    </row>
  </sheetData>
  <sheetProtection sheet="1" objects="1" scenarios="1"/>
  <phoneticPr fontId="3" type="noConversion"/>
  <pageMargins left="0.7" right="0.7" top="0.75" bottom="0.75" header="0.3" footer="0.3"/>
  <ignoredErrors>
    <ignoredError sqref="M7:N7 K7:L7 K11:L11 H7:J7 H11:J1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2</vt:i4>
      </vt:variant>
    </vt:vector>
  </HeadingPairs>
  <TitlesOfParts>
    <vt:vector size="5" baseType="lpstr">
      <vt:lpstr>Forklarende tekst</vt:lpstr>
      <vt:lpstr>TCO beregning</vt:lpstr>
      <vt:lpstr>Restværdi beregning</vt:lpstr>
      <vt:lpstr>'TCO beregning'!Kriterium</vt:lpstr>
      <vt:lpstr>'TCO beregning'!Udskriftsområde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Iben Ellen Beckmann</cp:lastModifiedBy>
  <dcterms:created xsi:type="dcterms:W3CDTF">2021-07-28T11:11:15Z</dcterms:created>
  <dcterms:modified xsi:type="dcterms:W3CDTF">2023-11-22T13:55:29Z</dcterms:modified>
</cp:coreProperties>
</file>